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5.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8908"/>
  <workbookPr codeName="ThisWorkbook"/>
  <mc:AlternateContent xmlns:mc="http://schemas.openxmlformats.org/markup-compatibility/2006">
    <mc:Choice Requires="x15">
      <x15ac:absPath xmlns:x15ac="http://schemas.microsoft.com/office/spreadsheetml/2010/11/ac" url="/Users/shilin/Desktop/苹果社区/商业/"/>
    </mc:Choice>
  </mc:AlternateContent>
  <bookViews>
    <workbookView xWindow="540" yWindow="460" windowWidth="25900" windowHeight="15820"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物清单" sheetId="84" state="hidden" r:id="rId10"/>
    <sheet name="租赁台账-今典底稿" sheetId="88" r:id="rId11"/>
    <sheet name="租约整理" sheetId="89" r:id="rId12"/>
    <sheet name="车位成交案例" sheetId="83" state="hidden" r:id="rId13"/>
    <sheet name="1号楼" sheetId="81" state="hidden" r:id="rId14"/>
    <sheet name="2号楼" sheetId="80" state="hidden" r:id="rId15"/>
    <sheet name="3号楼" sheetId="79" state="hidden" r:id="rId16"/>
    <sheet name="7号楼" sheetId="78" state="hidden" r:id="rId17"/>
    <sheet name="项目基本情况" sheetId="4" r:id="rId18"/>
    <sheet name="数据-基础表" sheetId="3" state="hidden" r:id="rId19"/>
    <sheet name="抵押物清单（分楼）" sheetId="42" state="hidden" r:id="rId20"/>
    <sheet name="数据-汇总表" sheetId="6" r:id="rId21"/>
    <sheet name="数据-取费表" sheetId="1" r:id="rId22"/>
    <sheet name="结果表-商业" sheetId="9" r:id="rId23"/>
    <sheet name="收益法-商业" sheetId="15" r:id="rId24"/>
    <sheet name="比较法-商业" sheetId="33" state="hidden" r:id="rId25"/>
    <sheet name="商业租金" sheetId="92" state="hidden" r:id="rId26"/>
    <sheet name="租金案例" sheetId="93" r:id="rId27"/>
    <sheet name="成本法-商业" sheetId="68" r:id="rId28"/>
    <sheet name="成本法 (元)" sheetId="69" state="hidden" r:id="rId29"/>
    <sheet name="假设开发法" sheetId="12" state="hidden" r:id="rId30"/>
    <sheet name="收益法 (元)" sheetId="67" state="hidden" r:id="rId31"/>
    <sheet name="收益法-酒店模型" sheetId="77" state="hidden" r:id="rId32"/>
    <sheet name="收益法（汇总）" sheetId="70" state="hidden" r:id="rId33"/>
    <sheet name="比较法-住宅" sheetId="21"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系统读取表" sheetId="74" r:id="rId47"/>
    <sheet name="工作表4" sheetId="90" r:id="rId48"/>
    <sheet name="工作表1" sheetId="91" r:id="rId49"/>
    <sheet name="估价对象房地状况" sheetId="20" state="hidden" r:id="rId50"/>
    <sheet name="现场" sheetId="86" state="hidden" r:id="rId51"/>
    <sheet name="定义" sheetId="10"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s>
  <externalReferences>
    <externalReference r:id="rId58"/>
    <externalReference r:id="rId59"/>
    <externalReference r:id="rId60"/>
    <externalReference r:id="rId61"/>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4" hidden="1">'比较法-商业'!$A$1:$L$49</definedName>
    <definedName name="_xlnm._FilterDatabase" localSheetId="33" hidden="1">'比较法-住宅'!$A$1:$L$49</definedName>
    <definedName name="_xlnm._FilterDatabase" localSheetId="18"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7"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4">'比较法-商业'!$A$1:$K$54,'比较法-商业'!$A$57:$M$131</definedName>
    <definedName name="_xlnm.Print_Area" localSheetId="33">'比较法-住宅'!$A$1:$K$54,'比较法-住宅'!$A$57:$M$131</definedName>
    <definedName name="_xlnm.Print_Area" localSheetId="28">'成本法 (元)'!$A$1:$G$57</definedName>
    <definedName name="_xlnm.Print_Area" localSheetId="27">'成本法-商业'!$A$1:$G$57</definedName>
    <definedName name="_xlnm.Print_Area" localSheetId="49">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9">假设开发法!$A$1:$K$32</definedName>
    <definedName name="_xlnm.Print_Area" localSheetId="22">'结果表-商业'!$A$1:$I$127</definedName>
    <definedName name="_xlnm.Print_Area" localSheetId="30">'收益法 (元)'!$A$1:$F$43,'收益法 (元)'!$H$3:$M$29,'收益法 (元)'!$A$45:$F$71,'收益法 (元)'!$I$46:$N$65</definedName>
    <definedName name="_xlnm.Print_Area" localSheetId="32">'收益法（汇总）'!$A$1:$F$13</definedName>
    <definedName name="_xlnm.Print_Area" localSheetId="23">'收益法-商业'!$A$1:$F$43,'收益法-商业'!$H$3:$M$29,'收益法-商业'!$A$46:$F$71,'收益法-商业'!$I$46:$N$65</definedName>
    <definedName name="_xlnm.Print_Area" localSheetId="20">'数据-汇总表'!$A$1:$P$32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46">系统读取表!$A$1:$J$26</definedName>
    <definedName name="_xlnm.Print_Area" localSheetId="17">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1">[1]定义!$D$1:$D$4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1">'[1]数据-汇总表'!$C$17:$C$26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0" i="89" l="1"/>
  <c r="H68" i="89"/>
  <c r="H70" i="89"/>
  <c r="I13" i="3"/>
  <c r="F19" i="6"/>
  <c r="E19" i="6"/>
  <c r="C40" i="33"/>
  <c r="I36" i="33"/>
  <c r="G36" i="33"/>
  <c r="E36" i="33"/>
  <c r="K53" i="89"/>
  <c r="L53" i="89"/>
  <c r="K20" i="89"/>
  <c r="L20" i="89"/>
  <c r="M7" i="89"/>
  <c r="M6" i="89"/>
  <c r="N80" i="89"/>
  <c r="N81" i="89"/>
  <c r="N82" i="89"/>
  <c r="N83" i="89"/>
  <c r="N84" i="89"/>
  <c r="B14" i="74"/>
  <c r="K77" i="89"/>
  <c r="K80" i="89"/>
  <c r="U6" i="1"/>
  <c r="F6" i="15"/>
  <c r="F8" i="15"/>
  <c r="AH6" i="1"/>
  <c r="F7" i="15"/>
  <c r="F9" i="15"/>
  <c r="C6" i="15"/>
  <c r="F4" i="73"/>
  <c r="I1" i="73"/>
  <c r="B39" i="1"/>
  <c r="F11" i="15"/>
  <c r="C10" i="15"/>
  <c r="C5" i="15"/>
  <c r="C32" i="15"/>
  <c r="C33" i="15"/>
  <c r="BB13" i="3"/>
  <c r="BA13" i="3"/>
  <c r="AZ13" i="3"/>
  <c r="AZ5" i="3"/>
  <c r="H13" i="3"/>
  <c r="G13" i="3"/>
  <c r="G5" i="3"/>
  <c r="B3" i="3"/>
  <c r="AY6" i="3"/>
  <c r="D3" i="6"/>
  <c r="E3" i="6"/>
  <c r="D19" i="6"/>
  <c r="BA5" i="3"/>
  <c r="E27" i="6"/>
  <c r="K19" i="6"/>
  <c r="L19" i="6"/>
  <c r="M19" i="6"/>
  <c r="I19" i="6"/>
  <c r="H19" i="6"/>
  <c r="R19" i="6"/>
  <c r="R6" i="1"/>
  <c r="F35" i="15"/>
  <c r="C34" i="15"/>
  <c r="C31" i="15"/>
  <c r="K6" i="1"/>
  <c r="M6" i="1"/>
  <c r="S6" i="1"/>
  <c r="T6" i="1"/>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L48" i="15"/>
  <c r="J60" i="15"/>
  <c r="L46" i="15"/>
  <c r="B2" i="15"/>
  <c r="B3" i="15"/>
  <c r="C20" i="9"/>
  <c r="D10" i="68"/>
  <c r="C6" i="68"/>
  <c r="C7" i="68"/>
  <c r="D9" i="68"/>
  <c r="C9" i="68"/>
  <c r="C10" i="68"/>
  <c r="C8" i="68"/>
  <c r="C5" i="68"/>
  <c r="C20" i="68"/>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K7" i="1"/>
  <c r="M7" i="1"/>
  <c r="K8" i="1"/>
  <c r="M8" i="1"/>
  <c r="K9" i="1"/>
  <c r="M9" i="1"/>
  <c r="K10" i="1"/>
  <c r="M10" i="1"/>
  <c r="K11" i="1"/>
  <c r="M11" i="1"/>
  <c r="K12" i="1"/>
  <c r="M12" i="1"/>
  <c r="K13" i="1"/>
  <c r="M13" i="1"/>
  <c r="K14" i="1"/>
  <c r="M14" i="1"/>
  <c r="M16" i="1"/>
  <c r="N16" i="1"/>
  <c r="F50" i="68"/>
  <c r="C51" i="68"/>
  <c r="C52" i="68"/>
  <c r="B2" i="68"/>
  <c r="B3" i="68"/>
  <c r="D20" i="9"/>
  <c r="G20" i="9"/>
  <c r="M80" i="89"/>
  <c r="O80" i="89"/>
  <c r="K24" i="89"/>
  <c r="K22" i="89"/>
  <c r="L22" i="89"/>
  <c r="K27" i="89"/>
  <c r="K28" i="89"/>
  <c r="L27" i="89"/>
  <c r="K36" i="89"/>
  <c r="K37" i="89"/>
  <c r="K38" i="89"/>
  <c r="L36" i="89"/>
  <c r="L69" i="89"/>
  <c r="K25" i="89"/>
  <c r="L25" i="89"/>
  <c r="K31" i="89"/>
  <c r="L31" i="89"/>
  <c r="K34" i="89"/>
  <c r="L34" i="89"/>
  <c r="K35" i="89"/>
  <c r="L35" i="89"/>
  <c r="K39" i="89"/>
  <c r="K40" i="89"/>
  <c r="L39" i="89"/>
  <c r="K43" i="89"/>
  <c r="L43" i="89"/>
  <c r="K46" i="89"/>
  <c r="L46" i="89"/>
  <c r="K49" i="89"/>
  <c r="L49" i="89"/>
  <c r="K50" i="89"/>
  <c r="L50" i="89"/>
  <c r="K51" i="89"/>
  <c r="L51" i="89"/>
  <c r="K52" i="89"/>
  <c r="L52" i="89"/>
  <c r="K54" i="89"/>
  <c r="L54" i="89"/>
  <c r="K55" i="89"/>
  <c r="L55" i="89"/>
  <c r="K56" i="89"/>
  <c r="L56" i="89"/>
  <c r="K60" i="89"/>
  <c r="L60" i="89"/>
  <c r="K62" i="89"/>
  <c r="L62" i="89"/>
  <c r="L68" i="89"/>
  <c r="N69" i="89"/>
  <c r="L81" i="89"/>
  <c r="M81" i="89"/>
  <c r="O81" i="89"/>
  <c r="L3" i="89"/>
  <c r="L5" i="89"/>
  <c r="L6" i="89"/>
  <c r="L7" i="89"/>
  <c r="L8" i="89"/>
  <c r="L9" i="89"/>
  <c r="L10" i="89"/>
  <c r="L11" i="89"/>
  <c r="L12" i="89"/>
  <c r="L13" i="89"/>
  <c r="L14" i="89"/>
  <c r="L16" i="89"/>
  <c r="L18" i="89"/>
  <c r="L70" i="89"/>
  <c r="N70" i="89"/>
  <c r="L82" i="89"/>
  <c r="M82" i="89"/>
  <c r="O82" i="89"/>
  <c r="K48" i="89"/>
  <c r="L48" i="89"/>
  <c r="L71" i="89"/>
  <c r="N71" i="89"/>
  <c r="L83" i="89"/>
  <c r="M83" i="89"/>
  <c r="O83" i="89"/>
  <c r="O84" i="89"/>
  <c r="D14" i="74"/>
  <c r="C19" i="9"/>
  <c r="D19" i="9"/>
  <c r="G19" i="9"/>
  <c r="J82" i="89"/>
  <c r="J81" i="89"/>
  <c r="M16" i="89"/>
  <c r="M3" i="89"/>
  <c r="M4" i="89"/>
  <c r="M5" i="89"/>
  <c r="M8" i="89"/>
  <c r="M9" i="89"/>
  <c r="M10" i="89"/>
  <c r="M11" i="89"/>
  <c r="M12" i="89"/>
  <c r="M13" i="89"/>
  <c r="M14" i="89"/>
  <c r="M18" i="89"/>
  <c r="M70" i="89"/>
  <c r="M20" i="89"/>
  <c r="F25" i="89"/>
  <c r="M25" i="89"/>
  <c r="F31" i="89"/>
  <c r="M31" i="89"/>
  <c r="F34" i="89"/>
  <c r="M34" i="89"/>
  <c r="F35" i="89"/>
  <c r="M35" i="89"/>
  <c r="F39" i="89"/>
  <c r="M39" i="89"/>
  <c r="M43" i="89"/>
  <c r="F46" i="89"/>
  <c r="M46" i="89"/>
  <c r="F49" i="89"/>
  <c r="M49" i="89"/>
  <c r="F50" i="89"/>
  <c r="M50" i="89"/>
  <c r="F51" i="89"/>
  <c r="M51" i="89"/>
  <c r="F52" i="89"/>
  <c r="M52" i="89"/>
  <c r="F53" i="89"/>
  <c r="M53" i="89"/>
  <c r="F54" i="89"/>
  <c r="M54" i="89"/>
  <c r="F55" i="89"/>
  <c r="M55" i="89"/>
  <c r="F56" i="89"/>
  <c r="M56" i="89"/>
  <c r="F60" i="89"/>
  <c r="M60" i="89"/>
  <c r="F62" i="89"/>
  <c r="M62" i="89"/>
  <c r="M68" i="89"/>
  <c r="O70" i="89"/>
  <c r="L91" i="89"/>
  <c r="K87" i="89"/>
  <c r="C17" i="9"/>
  <c r="D5" i="9"/>
  <c r="D17" i="9"/>
  <c r="C18" i="9"/>
  <c r="D18" i="9"/>
  <c r="N20" i="89"/>
  <c r="O20" i="89"/>
  <c r="N21" i="89"/>
  <c r="O21" i="89"/>
  <c r="N22" i="89"/>
  <c r="O22" i="89"/>
  <c r="N23" i="89"/>
  <c r="O23" i="89"/>
  <c r="N25" i="89"/>
  <c r="O25" i="89"/>
  <c r="N26" i="89"/>
  <c r="O26" i="89"/>
  <c r="N27" i="89"/>
  <c r="O27" i="89"/>
  <c r="N29" i="89"/>
  <c r="O29" i="89"/>
  <c r="N30" i="89"/>
  <c r="O30" i="89"/>
  <c r="N31" i="89"/>
  <c r="O31" i="89"/>
  <c r="N32" i="89"/>
  <c r="O32" i="89"/>
  <c r="N33" i="89"/>
  <c r="O33" i="89"/>
  <c r="N34" i="89"/>
  <c r="O34" i="89"/>
  <c r="N35" i="89"/>
  <c r="O35" i="89"/>
  <c r="N36" i="89"/>
  <c r="O36" i="89"/>
  <c r="N39" i="89"/>
  <c r="O39" i="89"/>
  <c r="N41" i="89"/>
  <c r="O41" i="89"/>
  <c r="N42" i="89"/>
  <c r="O42" i="89"/>
  <c r="N43" i="89"/>
  <c r="O43" i="89"/>
  <c r="N44" i="89"/>
  <c r="O44" i="89"/>
  <c r="N45" i="89"/>
  <c r="O45" i="89"/>
  <c r="N46" i="89"/>
  <c r="O46" i="89"/>
  <c r="N47" i="89"/>
  <c r="O47" i="89"/>
  <c r="F48" i="89"/>
  <c r="M48" i="89"/>
  <c r="M71" i="89"/>
  <c r="O71" i="89"/>
  <c r="N48" i="89"/>
  <c r="O48" i="89"/>
  <c r="N49" i="89"/>
  <c r="O49" i="89"/>
  <c r="N50" i="89"/>
  <c r="O50" i="89"/>
  <c r="N51" i="89"/>
  <c r="O51" i="89"/>
  <c r="N52" i="89"/>
  <c r="O52" i="89"/>
  <c r="N53" i="89"/>
  <c r="O53" i="89"/>
  <c r="N54" i="89"/>
  <c r="O54" i="89"/>
  <c r="N55" i="89"/>
  <c r="O55" i="89"/>
  <c r="N56" i="89"/>
  <c r="O56" i="89"/>
  <c r="N57" i="89"/>
  <c r="O57" i="89"/>
  <c r="N58" i="89"/>
  <c r="O58" i="89"/>
  <c r="N60" i="89"/>
  <c r="O60" i="89"/>
  <c r="N61" i="89"/>
  <c r="O61" i="89"/>
  <c r="N62" i="89"/>
  <c r="O62" i="89"/>
  <c r="N63" i="89"/>
  <c r="O63" i="89"/>
  <c r="O64" i="89"/>
  <c r="K88" i="89"/>
  <c r="F22" i="89"/>
  <c r="M22" i="89"/>
  <c r="F27" i="89"/>
  <c r="M27" i="89"/>
  <c r="F36" i="89"/>
  <c r="M36" i="89"/>
  <c r="M69" i="89"/>
  <c r="O69" i="89"/>
  <c r="N3" i="89"/>
  <c r="O3" i="89"/>
  <c r="N5" i="89"/>
  <c r="O5" i="89"/>
  <c r="N6" i="89"/>
  <c r="O6" i="89"/>
  <c r="N7" i="89"/>
  <c r="O7" i="89"/>
  <c r="N8" i="89"/>
  <c r="O8" i="89"/>
  <c r="N9" i="89"/>
  <c r="O9" i="89"/>
  <c r="N10" i="89"/>
  <c r="O10" i="89"/>
  <c r="N11" i="89"/>
  <c r="O11" i="89"/>
  <c r="N12" i="89"/>
  <c r="O12" i="89"/>
  <c r="N13" i="89"/>
  <c r="O13" i="89"/>
  <c r="N14" i="89"/>
  <c r="O14" i="89"/>
  <c r="N15" i="89"/>
  <c r="O15" i="89"/>
  <c r="N16" i="89"/>
  <c r="O16" i="89"/>
  <c r="N17" i="89"/>
  <c r="O17" i="89"/>
  <c r="O18" i="89"/>
  <c r="K89" i="89"/>
  <c r="K90" i="89"/>
  <c r="K91" i="89"/>
  <c r="O65" i="89"/>
  <c r="O66" i="89"/>
  <c r="P66" i="89"/>
  <c r="P80" i="89"/>
  <c r="L80" i="89"/>
  <c r="I47" i="33"/>
  <c r="G47" i="33"/>
  <c r="E47" i="33"/>
  <c r="N20" i="1"/>
  <c r="BB5" i="3"/>
  <c r="E8" i="6"/>
  <c r="F27" i="6"/>
  <c r="N22" i="1"/>
  <c r="N6" i="1"/>
  <c r="Y6" i="1"/>
  <c r="E18" i="89"/>
  <c r="E64" i="89"/>
  <c r="E65" i="89"/>
  <c r="M77" i="89"/>
  <c r="K83" i="89"/>
  <c r="L77" i="89"/>
  <c r="K82" i="89"/>
  <c r="K81" i="89"/>
  <c r="J83" i="89"/>
  <c r="M73" i="89"/>
  <c r="AD6" i="1"/>
  <c r="I7" i="33"/>
  <c r="G7" i="33"/>
  <c r="E7" i="33"/>
  <c r="O1" i="91"/>
  <c r="O2" i="91"/>
  <c r="N3" i="91"/>
  <c r="N4" i="91"/>
  <c r="N1" i="91"/>
  <c r="H64" i="91"/>
  <c r="G64" i="91"/>
  <c r="H22" i="91"/>
  <c r="G22" i="91"/>
  <c r="H6" i="91"/>
  <c r="J18" i="15"/>
  <c r="J19" i="15"/>
  <c r="M21" i="15"/>
  <c r="J20" i="15"/>
  <c r="J17" i="15"/>
  <c r="J14" i="15"/>
  <c r="M22" i="15"/>
  <c r="J22" i="15"/>
  <c r="J15" i="15"/>
  <c r="J13" i="15"/>
  <c r="M23" i="15"/>
  <c r="J23" i="15"/>
  <c r="M24" i="15"/>
  <c r="J24" i="15"/>
  <c r="J16" i="15"/>
  <c r="J25" i="15"/>
  <c r="M28" i="15"/>
  <c r="M26" i="15"/>
  <c r="AG6" i="1"/>
  <c r="M27" i="15"/>
  <c r="F7" i="68"/>
  <c r="F51" i="15"/>
  <c r="F50" i="15"/>
  <c r="C49" i="15"/>
  <c r="C53" i="15"/>
  <c r="C48" i="15"/>
  <c r="C60" i="15"/>
  <c r="C57" i="15"/>
  <c r="C61" i="15"/>
  <c r="F63" i="15"/>
  <c r="C62" i="15"/>
  <c r="C59" i="15"/>
  <c r="F64" i="15"/>
  <c r="C64" i="15"/>
  <c r="C56" i="15"/>
  <c r="F65" i="15"/>
  <c r="C65" i="15"/>
  <c r="F66" i="15"/>
  <c r="C66" i="15"/>
  <c r="C58" i="15"/>
  <c r="C67" i="15"/>
  <c r="F68" i="15"/>
  <c r="F69" i="15"/>
  <c r="C68" i="15"/>
  <c r="C46" i="15"/>
  <c r="E2" i="68"/>
  <c r="D10" i="69"/>
  <c r="C6" i="69"/>
  <c r="B29" i="1"/>
  <c r="B55" i="1"/>
  <c r="AE6" i="1"/>
  <c r="F24" i="89"/>
  <c r="M24" i="89"/>
  <c r="F37" i="89"/>
  <c r="M37" i="89"/>
  <c r="F38" i="89"/>
  <c r="M38" i="89"/>
  <c r="F28" i="89"/>
  <c r="M28" i="89"/>
  <c r="K29" i="89"/>
  <c r="F29" i="89"/>
  <c r="M29" i="89"/>
  <c r="F40" i="89"/>
  <c r="M40" i="89"/>
  <c r="K41" i="89"/>
  <c r="F41" i="89"/>
  <c r="M41" i="89"/>
  <c r="K44" i="89"/>
  <c r="F44" i="89"/>
  <c r="M44" i="89"/>
  <c r="K57" i="89"/>
  <c r="F57" i="89"/>
  <c r="M57" i="89"/>
  <c r="K58" i="89"/>
  <c r="F58" i="89"/>
  <c r="M58" i="89"/>
  <c r="K61" i="89"/>
  <c r="F61" i="89"/>
  <c r="M61" i="89"/>
  <c r="K63" i="89"/>
  <c r="F63" i="89"/>
  <c r="M63" i="89"/>
  <c r="L29" i="89"/>
  <c r="L41" i="89"/>
  <c r="L57" i="89"/>
  <c r="L58" i="89"/>
  <c r="L61" i="89"/>
  <c r="L63" i="89"/>
  <c r="F64" i="89"/>
  <c r="G64" i="89"/>
  <c r="J63" i="89"/>
  <c r="G63" i="89"/>
  <c r="J62" i="89"/>
  <c r="G62" i="89"/>
  <c r="J61" i="89"/>
  <c r="G61" i="89"/>
  <c r="J60" i="89"/>
  <c r="G60" i="89"/>
  <c r="J58" i="89"/>
  <c r="G58" i="89"/>
  <c r="J57" i="89"/>
  <c r="G57" i="89"/>
  <c r="J56" i="89"/>
  <c r="G56" i="89"/>
  <c r="J55" i="89"/>
  <c r="G55" i="89"/>
  <c r="J54" i="89"/>
  <c r="G54" i="89"/>
  <c r="J53" i="89"/>
  <c r="G53" i="89"/>
  <c r="J52" i="89"/>
  <c r="G52" i="89"/>
  <c r="J51" i="89"/>
  <c r="G51" i="89"/>
  <c r="J50" i="89"/>
  <c r="G50" i="89"/>
  <c r="J49" i="89"/>
  <c r="G49" i="89"/>
  <c r="J48" i="89"/>
  <c r="G48" i="89"/>
  <c r="L47" i="89"/>
  <c r="G47" i="89"/>
  <c r="J46" i="89"/>
  <c r="G46" i="89"/>
  <c r="L44" i="89"/>
  <c r="J44" i="89"/>
  <c r="G44" i="89"/>
  <c r="J43" i="89"/>
  <c r="G43" i="89"/>
  <c r="L42" i="89"/>
  <c r="G42" i="89"/>
  <c r="J41" i="89"/>
  <c r="G41" i="89"/>
  <c r="J40" i="89"/>
  <c r="J39" i="89"/>
  <c r="G39" i="89"/>
  <c r="J38" i="89"/>
  <c r="J37" i="89"/>
  <c r="J36" i="89"/>
  <c r="G36" i="89"/>
  <c r="J35" i="89"/>
  <c r="G35" i="89"/>
  <c r="J34" i="89"/>
  <c r="G34" i="89"/>
  <c r="L33" i="89"/>
  <c r="G33" i="89"/>
  <c r="J31" i="89"/>
  <c r="G31" i="89"/>
  <c r="L30" i="89"/>
  <c r="G30" i="89"/>
  <c r="J29" i="89"/>
  <c r="G29" i="89"/>
  <c r="J28" i="89"/>
  <c r="J27" i="89"/>
  <c r="G27" i="89"/>
  <c r="J25" i="89"/>
  <c r="G25" i="89"/>
  <c r="J24" i="89"/>
  <c r="J22" i="89"/>
  <c r="G22" i="89"/>
  <c r="J20" i="89"/>
  <c r="G20" i="89"/>
  <c r="K17" i="89"/>
  <c r="M17" i="89"/>
  <c r="L15" i="89"/>
  <c r="L17" i="89"/>
  <c r="F16" i="89"/>
  <c r="F18" i="89"/>
  <c r="G18" i="89"/>
  <c r="J17" i="89"/>
  <c r="J16" i="89"/>
  <c r="G16" i="89"/>
  <c r="G15" i="89"/>
  <c r="J14" i="89"/>
  <c r="G14" i="89"/>
  <c r="J13" i="89"/>
  <c r="G13" i="89"/>
  <c r="J12" i="89"/>
  <c r="G12" i="89"/>
  <c r="J11" i="89"/>
  <c r="G11" i="89"/>
  <c r="J10" i="89"/>
  <c r="G10" i="89"/>
  <c r="J9" i="89"/>
  <c r="G9" i="89"/>
  <c r="J8" i="89"/>
  <c r="G8" i="89"/>
  <c r="J7" i="89"/>
  <c r="G7" i="89"/>
  <c r="J6" i="89"/>
  <c r="G6" i="89"/>
  <c r="J5" i="89"/>
  <c r="G5" i="89"/>
  <c r="J4" i="89"/>
  <c r="J3" i="89"/>
  <c r="G3" i="89"/>
  <c r="K91" i="88"/>
  <c r="D91" i="88"/>
  <c r="Q90" i="88"/>
  <c r="Q89" i="88"/>
  <c r="Q88" i="88"/>
  <c r="Q87" i="88"/>
  <c r="Q86" i="88"/>
  <c r="Q85" i="88"/>
  <c r="Q84" i="88"/>
  <c r="Q83" i="88"/>
  <c r="Q82" i="88"/>
  <c r="Q81" i="88"/>
  <c r="Q80" i="88"/>
  <c r="Q79" i="88"/>
  <c r="Q78" i="88"/>
  <c r="Q77" i="88"/>
  <c r="Q76" i="88"/>
  <c r="Q75" i="88"/>
  <c r="Q74" i="88"/>
  <c r="Q73" i="88"/>
  <c r="H72" i="88"/>
  <c r="Q72" i="88"/>
  <c r="D72" i="88"/>
  <c r="Q71" i="88"/>
  <c r="Q70" i="88"/>
  <c r="Q69" i="88"/>
  <c r="Q67" i="88"/>
  <c r="Q66" i="88"/>
  <c r="Q65" i="88"/>
  <c r="Q64" i="88"/>
  <c r="Q63" i="88"/>
  <c r="Q62" i="88"/>
  <c r="Q61" i="88"/>
  <c r="Q60" i="88"/>
  <c r="Q59" i="88"/>
  <c r="Q58" i="88"/>
  <c r="Q57" i="88"/>
  <c r="Q56" i="88"/>
  <c r="Q55" i="88"/>
  <c r="Q54" i="88"/>
  <c r="Q53" i="88"/>
  <c r="Q52" i="88"/>
  <c r="Q51" i="88"/>
  <c r="Q50" i="88"/>
  <c r="Q49" i="88"/>
  <c r="Q48" i="88"/>
  <c r="Q47" i="88"/>
  <c r="Q46" i="88"/>
  <c r="Q45" i="88"/>
  <c r="Q44" i="88"/>
  <c r="Q43" i="88"/>
  <c r="Q42" i="88"/>
  <c r="Q41" i="88"/>
  <c r="Q40" i="88"/>
  <c r="Q39" i="88"/>
  <c r="Q38" i="88"/>
  <c r="Q37" i="88"/>
  <c r="O37" i="88"/>
  <c r="Q36" i="88"/>
  <c r="Q35" i="88"/>
  <c r="Q34" i="88"/>
  <c r="Q33" i="88"/>
  <c r="Q32" i="88"/>
  <c r="Q31" i="88"/>
  <c r="Q30" i="88"/>
  <c r="Q29" i="88"/>
  <c r="Q28" i="88"/>
  <c r="Q27" i="88"/>
  <c r="Q26" i="88"/>
  <c r="Q25" i="88"/>
  <c r="Q24" i="88"/>
  <c r="Q23" i="88"/>
  <c r="Q22" i="88"/>
  <c r="Q21" i="88"/>
  <c r="Q20" i="88"/>
  <c r="Q19" i="88"/>
  <c r="Q18" i="88"/>
  <c r="Q17" i="88"/>
  <c r="Q16" i="88"/>
  <c r="Q15" i="88"/>
  <c r="Q14" i="88"/>
  <c r="Q13" i="88"/>
  <c r="Q12" i="88"/>
  <c r="Q11" i="88"/>
  <c r="Q10" i="88"/>
  <c r="Q9" i="88"/>
  <c r="Q8" i="88"/>
  <c r="Q7" i="88"/>
  <c r="Q6" i="88"/>
  <c r="Q5" i="88"/>
  <c r="Q4" i="88"/>
  <c r="P4" i="88"/>
  <c r="L18" i="79"/>
  <c r="L19" i="79"/>
  <c r="L20" i="79"/>
  <c r="N20" i="79"/>
  <c r="N22" i="79"/>
  <c r="N16" i="79"/>
  <c r="L16" i="79"/>
  <c r="L13" i="79"/>
  <c r="L15" i="79"/>
  <c r="I1220" i="84"/>
  <c r="I442" i="84"/>
  <c r="I425" i="84"/>
  <c r="I339" i="84"/>
  <c r="K4" i="78"/>
  <c r="K3" i="78"/>
  <c r="K2" i="78"/>
  <c r="K5" i="79"/>
  <c r="L12" i="79"/>
  <c r="K4" i="79"/>
  <c r="L14" i="79"/>
  <c r="K3" i="79"/>
  <c r="L17" i="79"/>
  <c r="K2" i="79"/>
  <c r="K6" i="80"/>
  <c r="K3" i="80"/>
  <c r="K5" i="80"/>
  <c r="K4" i="80"/>
  <c r="K2" i="80"/>
  <c r="M4" i="81"/>
  <c r="M3" i="81"/>
  <c r="M2" i="81"/>
  <c r="F779" i="78"/>
  <c r="F18" i="79"/>
  <c r="F87" i="80"/>
  <c r="F334" i="81"/>
  <c r="D3" i="4"/>
  <c r="I1221" i="84"/>
  <c r="K6" i="79"/>
  <c r="G15" i="73"/>
  <c r="F15" i="73"/>
  <c r="E15" i="73"/>
  <c r="G16" i="73"/>
  <c r="F16" i="73"/>
  <c r="E16"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D11" i="77"/>
  <c r="R13" i="77"/>
  <c r="R12" i="77"/>
  <c r="D12" i="77"/>
  <c r="R11" i="77"/>
  <c r="R10" i="77"/>
  <c r="D10" i="77"/>
  <c r="R9" i="77"/>
  <c r="D9" i="77"/>
  <c r="R8" i="77"/>
  <c r="R7" i="77"/>
  <c r="R4" i="77"/>
  <c r="R3" i="77"/>
  <c r="E11" i="77"/>
  <c r="E7" i="77"/>
  <c r="C27" i="77"/>
  <c r="D7" i="77"/>
  <c r="C26" i="77"/>
  <c r="C32" i="77"/>
  <c r="C38" i="77"/>
  <c r="C39" i="77"/>
  <c r="R14" i="77"/>
  <c r="R24" i="77"/>
  <c r="R25" i="77"/>
  <c r="D29" i="77"/>
  <c r="E23" i="77"/>
  <c r="D26" i="77"/>
  <c r="D32" i="77"/>
  <c r="C29" i="77"/>
  <c r="R35" i="77"/>
  <c r="U34" i="77"/>
  <c r="AH6" i="71"/>
  <c r="AG6" i="71"/>
  <c r="AE6" i="71"/>
  <c r="AF6" i="71"/>
  <c r="AD6" i="71"/>
  <c r="Q6" i="71"/>
  <c r="P6" i="71"/>
  <c r="O6" i="71"/>
  <c r="N6" i="71"/>
  <c r="R19" i="77"/>
  <c r="R5" i="77"/>
  <c r="U5" i="77"/>
  <c r="E26" i="77"/>
  <c r="E38" i="77"/>
  <c r="E39" i="77"/>
  <c r="C40" i="77"/>
  <c r="E29" i="77"/>
  <c r="E32" i="77"/>
  <c r="AH7" i="71"/>
  <c r="AG7" i="71"/>
  <c r="AE7" i="71"/>
  <c r="AF7" i="71"/>
  <c r="AD7" i="71"/>
  <c r="Q7" i="71"/>
  <c r="P7" i="71"/>
  <c r="O7" i="71"/>
  <c r="N7" i="71"/>
  <c r="B2" i="77"/>
  <c r="B3" i="77"/>
  <c r="C41" i="77"/>
  <c r="E20" i="43"/>
  <c r="AH8" i="71"/>
  <c r="AG8" i="71"/>
  <c r="AE8" i="71"/>
  <c r="AF8" i="71"/>
  <c r="AD8" i="71"/>
  <c r="Q8" i="71"/>
  <c r="P8" i="71"/>
  <c r="O8" i="71"/>
  <c r="N8" i="71"/>
  <c r="AH9" i="71"/>
  <c r="AG9" i="71"/>
  <c r="AE9" i="71"/>
  <c r="AF9" i="71"/>
  <c r="AD9" i="71"/>
  <c r="Q9" i="71"/>
  <c r="P9" i="71"/>
  <c r="O9" i="71"/>
  <c r="N9" i="71"/>
  <c r="AH10" i="71"/>
  <c r="AG10" i="71"/>
  <c r="AE10" i="71"/>
  <c r="AF10" i="71"/>
  <c r="AD10" i="71"/>
  <c r="Q10" i="71"/>
  <c r="P10" i="71"/>
  <c r="O10" i="71"/>
  <c r="N10"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1" i="71"/>
  <c r="AG11" i="71"/>
  <c r="AE11" i="71"/>
  <c r="AF11" i="7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C7" i="69"/>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Q22" i="71"/>
  <c r="P22" i="71"/>
  <c r="E21" i="71"/>
  <c r="E20" i="71"/>
  <c r="E19" i="71"/>
  <c r="O22" i="71"/>
  <c r="N22" i="71"/>
  <c r="V21" i="71"/>
  <c r="A2" i="53"/>
  <c r="B19" i="72"/>
  <c r="K59" i="67"/>
  <c r="P61" i="67"/>
  <c r="K59" i="15"/>
  <c r="P74" i="15"/>
  <c r="P61" i="15"/>
  <c r="P74" i="67"/>
  <c r="D115" i="39"/>
  <c r="E115" i="39"/>
  <c r="F115" i="39"/>
  <c r="G115" i="39"/>
  <c r="H115" i="39"/>
  <c r="I115" i="39"/>
  <c r="J115" i="39"/>
  <c r="K115" i="39"/>
  <c r="L115" i="39"/>
  <c r="M115" i="39"/>
  <c r="C115" i="39"/>
  <c r="A21" i="62"/>
  <c r="B67" i="72"/>
  <c r="A20" i="62"/>
  <c r="A22" i="51"/>
  <c r="B17" i="72"/>
  <c r="A21" i="51"/>
  <c r="A20" i="51"/>
  <c r="A15" i="62"/>
  <c r="B61" i="72"/>
  <c r="A14" i="62"/>
  <c r="B60" i="72"/>
  <c r="A13" i="62"/>
  <c r="B59" i="72"/>
  <c r="A19" i="62"/>
  <c r="A12" i="62"/>
  <c r="B58" i="72"/>
  <c r="A120" i="9"/>
  <c r="A6" i="52"/>
  <c r="B57" i="72"/>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X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E111" i="9"/>
  <c r="A126" i="9"/>
  <c r="E109" i="9"/>
  <c r="A124" i="9"/>
  <c r="A10" i="52"/>
  <c r="B55" i="72"/>
  <c r="B44" i="72"/>
  <c r="B42" i="72"/>
  <c r="B69" i="72"/>
  <c r="B68" i="72"/>
  <c r="B63" i="72"/>
  <c r="B62" i="72"/>
  <c r="B16" i="72"/>
  <c r="B65" i="72"/>
  <c r="B66" i="72"/>
  <c r="B10" i="72"/>
  <c r="C53" i="10"/>
  <c r="B51" i="10"/>
  <c r="A18" i="51"/>
  <c r="B13" i="72"/>
  <c r="B49" i="48"/>
  <c r="B5" i="72"/>
  <c r="I19" i="43"/>
  <c r="D86" i="71"/>
  <c r="F85" i="71"/>
  <c r="F84" i="71"/>
  <c r="E85" i="71"/>
  <c r="E84" i="71"/>
  <c r="E83" i="71"/>
  <c r="C85" i="71"/>
  <c r="D85" i="71"/>
  <c r="B85" i="71"/>
  <c r="B84" i="71"/>
  <c r="F83" i="71"/>
  <c r="B83" i="71"/>
  <c r="D82" i="71"/>
  <c r="F81" i="71"/>
  <c r="F80" i="71"/>
  <c r="E81" i="71"/>
  <c r="E80" i="71"/>
  <c r="E79" i="71"/>
  <c r="C81" i="71"/>
  <c r="D81" i="71"/>
  <c r="B81" i="71"/>
  <c r="B80" i="71"/>
  <c r="F79"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E56" i="71"/>
  <c r="E57" i="71"/>
  <c r="U57"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E52" i="71"/>
  <c r="E53" i="71"/>
  <c r="U53" i="71"/>
  <c r="O50" i="71"/>
  <c r="C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AB36" i="71"/>
  <c r="Q36" i="71"/>
  <c r="P36" i="71"/>
  <c r="O36" i="71"/>
  <c r="N36" i="71"/>
  <c r="X36" i="71"/>
  <c r="Q35" i="71"/>
  <c r="AB35" i="71"/>
  <c r="P35" i="71"/>
  <c r="O35" i="71"/>
  <c r="Y35" i="71"/>
  <c r="Z35" i="71"/>
  <c r="N35" i="71"/>
  <c r="Q34" i="71"/>
  <c r="F35" i="71"/>
  <c r="F36" i="71"/>
  <c r="F37" i="71"/>
  <c r="V37"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c r="F32" i="71"/>
  <c r="F33" i="71"/>
  <c r="V33" i="71"/>
  <c r="P30" i="71"/>
  <c r="O30" i="71"/>
  <c r="N30" i="71"/>
  <c r="D30" i="71"/>
  <c r="Q29" i="71"/>
  <c r="AB29" i="71"/>
  <c r="P29" i="71"/>
  <c r="O29" i="71"/>
  <c r="Y29" i="71"/>
  <c r="Z29" i="71"/>
  <c r="N29" i="71"/>
  <c r="Q28" i="71"/>
  <c r="AB28" i="71"/>
  <c r="P28" i="71"/>
  <c r="O28" i="71"/>
  <c r="Y28" i="71"/>
  <c r="Z28" i="71"/>
  <c r="N28" i="71"/>
  <c r="X26" i="71"/>
  <c r="Q27" i="71"/>
  <c r="AB27" i="71"/>
  <c r="P27" i="71"/>
  <c r="O27" i="71"/>
  <c r="Y27" i="71"/>
  <c r="Z27" i="71"/>
  <c r="N27" i="71"/>
  <c r="Q26" i="71"/>
  <c r="F27" i="71"/>
  <c r="F28" i="71"/>
  <c r="F29" i="71"/>
  <c r="V29" i="71"/>
  <c r="P26" i="71"/>
  <c r="O26" i="71"/>
  <c r="N26" i="71"/>
  <c r="D26" i="71"/>
  <c r="O25" i="71"/>
  <c r="N25" i="71"/>
  <c r="B27" i="71"/>
  <c r="B28" i="71"/>
  <c r="B29" i="71"/>
  <c r="S29"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P25" i="71"/>
  <c r="E60" i="71"/>
  <c r="E61" i="71"/>
  <c r="U61" i="71"/>
  <c r="U65" i="71"/>
  <c r="E64" i="71"/>
  <c r="Q25" i="71"/>
  <c r="C60" i="71"/>
  <c r="D59" i="71"/>
  <c r="N64" i="71"/>
  <c r="B63"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P64" i="71"/>
  <c r="E63" i="71"/>
  <c r="C37" i="71"/>
  <c r="D36" i="71"/>
  <c r="C29" i="71"/>
  <c r="D28" i="71"/>
  <c r="C23" i="71"/>
  <c r="D23" i="71"/>
  <c r="D24" i="71"/>
  <c r="V25" i="71"/>
  <c r="P62" i="71"/>
  <c r="P63" i="71"/>
  <c r="O63" i="71"/>
  <c r="D63" i="71"/>
  <c r="O62" i="71"/>
  <c r="T29" i="71"/>
  <c r="D29" i="71"/>
  <c r="T37" i="71"/>
  <c r="D3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6" i="43"/>
  <c r="C22" i="20"/>
  <c r="B75" i="43"/>
  <c r="B55" i="43"/>
  <c r="B66" i="43"/>
  <c r="C25" i="40"/>
  <c r="C29" i="39"/>
  <c r="S25" i="40"/>
  <c r="S18" i="36"/>
  <c r="S21" i="34"/>
  <c r="H25" i="40"/>
  <c r="AB25" i="40"/>
  <c r="J25" i="40"/>
  <c r="AC25" i="40"/>
  <c r="H29" i="39"/>
  <c r="AB29" i="39"/>
  <c r="J29" i="39"/>
  <c r="AC29" i="39"/>
  <c r="J18" i="36"/>
  <c r="AC18" i="36"/>
  <c r="H18" i="35"/>
  <c r="AB18" i="35"/>
  <c r="S18" i="35"/>
  <c r="J18" i="35"/>
  <c r="H21" i="37"/>
  <c r="F21" i="37"/>
  <c r="AA21" i="37"/>
  <c r="F84" i="34"/>
  <c r="H21" i="34"/>
  <c r="AB21" i="34"/>
  <c r="H21" i="33"/>
  <c r="U21" i="33"/>
  <c r="F21" i="33"/>
  <c r="E83" i="21"/>
  <c r="F83" i="21"/>
  <c r="G83" i="21"/>
  <c r="S21" i="21"/>
  <c r="H1" i="69"/>
  <c r="W25" i="40"/>
  <c r="U25" i="40"/>
  <c r="U29" i="39"/>
  <c r="W29" i="39"/>
  <c r="W18" i="36"/>
  <c r="AB21" i="37"/>
  <c r="U21" i="37"/>
  <c r="S21" i="37"/>
  <c r="U21" i="34"/>
  <c r="AB21" i="33"/>
  <c r="AA21" i="33"/>
  <c r="S21" i="33"/>
  <c r="U18" i="35"/>
  <c r="AC18" i="35"/>
  <c r="W18" i="35"/>
  <c r="J21" i="37"/>
  <c r="AC21" i="37"/>
  <c r="G84" i="34"/>
  <c r="J21" i="34"/>
  <c r="AC21" i="34"/>
  <c r="J21" i="33"/>
  <c r="AC21" i="33"/>
  <c r="H21" i="21"/>
  <c r="AB21" i="21"/>
  <c r="F38" i="69"/>
  <c r="E37" i="69"/>
  <c r="F36" i="69"/>
  <c r="F35" i="69"/>
  <c r="F21" i="69"/>
  <c r="F40" i="69"/>
  <c r="C21" i="69"/>
  <c r="F20" i="69"/>
  <c r="F39" i="69"/>
  <c r="E10" i="69"/>
  <c r="E9" i="69"/>
  <c r="W21" i="37"/>
  <c r="W21" i="34"/>
  <c r="W21" i="33"/>
  <c r="U21" i="21"/>
  <c r="J21" i="21"/>
  <c r="W21" i="21"/>
  <c r="C40" i="69"/>
  <c r="F38" i="68"/>
  <c r="E37" i="68"/>
  <c r="F36" i="68"/>
  <c r="F35" i="68"/>
  <c r="F21" i="68"/>
  <c r="F20" i="68"/>
  <c r="F39" i="68"/>
  <c r="E10" i="68"/>
  <c r="E9" i="68"/>
  <c r="AC21" i="21"/>
  <c r="Q72" i="67"/>
  <c r="Q59" i="67"/>
  <c r="Q58" i="67"/>
  <c r="Q51" i="67"/>
  <c r="J50" i="67"/>
  <c r="M47" i="67"/>
  <c r="D46" i="67"/>
  <c r="F33" i="67"/>
  <c r="F61" i="67"/>
  <c r="F23" i="67"/>
  <c r="D24" i="67"/>
  <c r="F21" i="67"/>
  <c r="F20" i="67"/>
  <c r="M19" i="67"/>
  <c r="F18" i="67"/>
  <c r="F17" i="67"/>
  <c r="F15" i="67"/>
  <c r="D22" i="67"/>
  <c r="S2" i="4"/>
  <c r="C51" i="10"/>
  <c r="A13" i="51"/>
  <c r="B11" i="72"/>
  <c r="S1" i="4"/>
  <c r="A4" i="51"/>
  <c r="B6" i="72"/>
  <c r="B1" i="4"/>
  <c r="D1" i="43"/>
  <c r="F113" i="43"/>
  <c r="N99" i="43"/>
  <c r="N108" i="43"/>
  <c r="D99" i="43"/>
  <c r="E99" i="43"/>
  <c r="F99" i="43"/>
  <c r="F108" i="43"/>
  <c r="G99" i="43"/>
  <c r="G108" i="43"/>
  <c r="H99" i="43"/>
  <c r="H108" i="43"/>
  <c r="I99" i="43"/>
  <c r="J99" i="43"/>
  <c r="J108" i="43"/>
  <c r="K99" i="43"/>
  <c r="K108" i="43"/>
  <c r="L99" i="43"/>
  <c r="L108" i="43"/>
  <c r="M99"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G13" i="1"/>
  <c r="D6" i="1"/>
  <c r="D9" i="1"/>
  <c r="D10" i="1"/>
  <c r="G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c r="A4" i="62"/>
  <c r="B70" i="72"/>
  <c r="F33" i="9"/>
  <c r="B37" i="48"/>
  <c r="B2" i="72"/>
  <c r="B13" i="53"/>
  <c r="B29" i="72"/>
  <c r="R35" i="4"/>
  <c r="Q35" i="4"/>
  <c r="P35" i="4"/>
  <c r="O35" i="4"/>
  <c r="N35" i="4"/>
  <c r="M35" i="4"/>
  <c r="L35" i="4"/>
  <c r="K34" i="4"/>
  <c r="T34" i="4"/>
  <c r="G11" i="1"/>
  <c r="I15" i="4"/>
  <c r="H15" i="4"/>
  <c r="G15" i="4"/>
  <c r="E15" i="4"/>
  <c r="D15" i="4"/>
  <c r="F7" i="1"/>
  <c r="L21" i="4"/>
  <c r="F19" i="4"/>
  <c r="F2" i="52"/>
  <c r="B50" i="72"/>
  <c r="D2" i="52"/>
  <c r="B46" i="72"/>
  <c r="B8" i="53"/>
  <c r="B23" i="72"/>
  <c r="L4" i="9"/>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20" i="6"/>
  <c r="E21" i="6"/>
  <c r="O8" i="1"/>
  <c r="P8" i="1"/>
  <c r="F23" i="15"/>
  <c r="D24" i="15"/>
  <c r="O13" i="1"/>
  <c r="P13" i="1"/>
  <c r="E22" i="6"/>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AC34"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S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G77" i="21"/>
  <c r="B130" i="21"/>
  <c r="B128" i="21"/>
  <c r="J45" i="21"/>
  <c r="W45" i="21"/>
  <c r="B126" i="21"/>
  <c r="B98" i="21"/>
  <c r="H31" i="21"/>
  <c r="B96" i="21"/>
  <c r="B94" i="21"/>
  <c r="J29" i="21"/>
  <c r="AC29" i="21"/>
  <c r="B92" i="21"/>
  <c r="B90" i="21"/>
  <c r="J27" i="21"/>
  <c r="B74" i="21"/>
  <c r="B72" i="21"/>
  <c r="H13" i="21"/>
  <c r="AB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AZ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A14" i="37"/>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AZ520" i="3"/>
  <c r="BA518" i="3"/>
  <c r="AZ518" i="3"/>
  <c r="BA516" i="3"/>
  <c r="AZ516" i="3"/>
  <c r="BA514" i="3"/>
  <c r="BA512" i="3"/>
  <c r="AZ512" i="3"/>
  <c r="BA510" i="3"/>
  <c r="AZ510" i="3"/>
  <c r="BA508" i="3"/>
  <c r="AZ508" i="3"/>
  <c r="BA506" i="3"/>
  <c r="BA504" i="3"/>
  <c r="AZ504" i="3"/>
  <c r="BA502" i="3"/>
  <c r="BA500" i="3"/>
  <c r="BA498" i="3"/>
  <c r="AZ498" i="3"/>
  <c r="BA496" i="3"/>
  <c r="BA494" i="3"/>
  <c r="BA587" i="3"/>
  <c r="AZ587" i="3"/>
  <c r="BA583" i="3"/>
  <c r="AZ583" i="3"/>
  <c r="BA581" i="3"/>
  <c r="BA579" i="3"/>
  <c r="BA577" i="3"/>
  <c r="AZ577" i="3"/>
  <c r="BA575" i="3"/>
  <c r="BA573" i="3"/>
  <c r="AZ573" i="3"/>
  <c r="BA571" i="3"/>
  <c r="BA569" i="3"/>
  <c r="AZ569" i="3"/>
  <c r="BA567" i="3"/>
  <c r="BA565" i="3"/>
  <c r="AZ565" i="3"/>
  <c r="BA563" i="3"/>
  <c r="BA561" i="3"/>
  <c r="BA559" i="3"/>
  <c r="BA555" i="3"/>
  <c r="BA553" i="3"/>
  <c r="BA549" i="3"/>
  <c r="BA547" i="3"/>
  <c r="BA545" i="3"/>
  <c r="BA543" i="3"/>
  <c r="BA541" i="3"/>
  <c r="BA539" i="3"/>
  <c r="BA537" i="3"/>
  <c r="BA535" i="3"/>
  <c r="BA533" i="3"/>
  <c r="BA531" i="3"/>
  <c r="BA529" i="3"/>
  <c r="BA527" i="3"/>
  <c r="BA525" i="3"/>
  <c r="BA523" i="3"/>
  <c r="BA519" i="3"/>
  <c r="AZ519" i="3"/>
  <c r="BA517" i="3"/>
  <c r="BA515" i="3"/>
  <c r="AZ515" i="3"/>
  <c r="BA513" i="3"/>
  <c r="BA511" i="3"/>
  <c r="AZ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AZ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AZ509" i="3"/>
  <c r="BL508" i="3"/>
  <c r="G507" i="3"/>
  <c r="G505" i="3"/>
  <c r="G503" i="3"/>
  <c r="G501" i="3"/>
  <c r="G499" i="3"/>
  <c r="G497" i="3"/>
  <c r="G495" i="3"/>
  <c r="BQ507" i="3"/>
  <c r="BL507" i="3"/>
  <c r="AZ507" i="3"/>
  <c r="BQ505" i="3"/>
  <c r="BL505" i="3"/>
  <c r="AZ505" i="3"/>
  <c r="BQ503" i="3"/>
  <c r="BL503" i="3"/>
  <c r="AZ503" i="3"/>
  <c r="BQ501" i="3"/>
  <c r="BL501" i="3"/>
  <c r="AZ501" i="3"/>
  <c r="BQ499" i="3"/>
  <c r="BL499" i="3"/>
  <c r="AZ499" i="3"/>
  <c r="BQ497" i="3"/>
  <c r="BL497" i="3"/>
  <c r="AZ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4"/>
  <c r="C7" i="36"/>
  <c r="W35" i="40"/>
  <c r="A4" i="52"/>
  <c r="B41" i="72"/>
  <c r="J11" i="39"/>
  <c r="W11" i="39"/>
  <c r="F11" i="39"/>
  <c r="AA11" i="39"/>
  <c r="A12" i="52"/>
  <c r="B56" i="72"/>
  <c r="S11" i="39"/>
  <c r="G4" i="4"/>
  <c r="I4" i="4"/>
  <c r="K5" i="4"/>
  <c r="B47" i="48"/>
  <c r="F59" i="43"/>
  <c r="H62" i="43"/>
  <c r="AZ20" i="3"/>
  <c r="AZ24" i="3"/>
  <c r="AZ28" i="3"/>
  <c r="AZ32" i="3"/>
  <c r="BL549" i="3"/>
  <c r="AZ494" i="3"/>
  <c r="AZ502" i="3"/>
  <c r="AZ514" i="3"/>
  <c r="AZ522" i="3"/>
  <c r="AZ530" i="3"/>
  <c r="AZ546" i="3"/>
  <c r="G546" i="3"/>
  <c r="G524" i="3"/>
  <c r="G303" i="3"/>
  <c r="BL304" i="3"/>
  <c r="G305" i="3"/>
  <c r="BL306" i="3"/>
  <c r="BA308" i="3"/>
  <c r="AZ308" i="3"/>
  <c r="BA309" i="3"/>
  <c r="AZ309" i="3"/>
  <c r="BL309" i="3"/>
  <c r="G310" i="3"/>
  <c r="BA311" i="3"/>
  <c r="G319" i="3"/>
  <c r="BL320" i="3"/>
  <c r="G321" i="3"/>
  <c r="BL322" i="3"/>
  <c r="BA324" i="3"/>
  <c r="AZ324" i="3"/>
  <c r="BA325" i="3"/>
  <c r="AZ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F28" i="6"/>
  <c r="F30" i="6"/>
  <c r="F31"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12" i="6"/>
  <c r="E15" i="6"/>
  <c r="E60" i="40"/>
  <c r="E13" i="6"/>
  <c r="E58" i="40"/>
  <c r="G29" i="6"/>
  <c r="E29" i="6"/>
  <c r="K15" i="1"/>
  <c r="AC26" i="33"/>
  <c r="W26" i="33"/>
  <c r="W27" i="34"/>
  <c r="AC27" i="34"/>
  <c r="AB34" i="36"/>
  <c r="U34" i="36"/>
  <c r="AB33" i="36"/>
  <c r="U33" i="36"/>
  <c r="AC12" i="39"/>
  <c r="W12" i="39"/>
  <c r="AC39" i="40"/>
  <c r="W39" i="40"/>
  <c r="AZ401" i="3"/>
  <c r="AZ412" i="3"/>
  <c r="AZ417" i="3"/>
  <c r="AZ428" i="3"/>
  <c r="AZ433" i="3"/>
  <c r="AZ465" i="3"/>
  <c r="F22" i="43"/>
  <c r="B113" i="43"/>
  <c r="B115" i="43"/>
  <c r="C115" i="43"/>
  <c r="K101" i="43"/>
  <c r="K103" i="43"/>
  <c r="F101" i="43"/>
  <c r="F104" i="43"/>
  <c r="N101" i="43"/>
  <c r="N102" i="43"/>
  <c r="E22" i="43"/>
  <c r="G101" i="43"/>
  <c r="G105" i="43"/>
  <c r="C101" i="43"/>
  <c r="C104" i="43"/>
  <c r="J101" i="43"/>
  <c r="J104" i="43"/>
  <c r="N104" i="46"/>
  <c r="W12" i="33"/>
  <c r="AC12" i="33"/>
  <c r="AA32" i="36"/>
  <c r="S32" i="36"/>
  <c r="AZ550" i="3"/>
  <c r="AZ408" i="3"/>
  <c r="AZ437" i="3"/>
  <c r="AZ441" i="3"/>
  <c r="AZ457" i="3"/>
  <c r="AZ473" i="3"/>
  <c r="AZ490" i="3"/>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O12" i="1"/>
  <c r="P12" i="1"/>
  <c r="S13" i="1"/>
  <c r="AR13" i="1"/>
  <c r="R13" i="1"/>
  <c r="S11" i="1"/>
  <c r="AQ11" i="1"/>
  <c r="R11" i="1"/>
  <c r="S9" i="1"/>
  <c r="AR9" i="1"/>
  <c r="R9" i="1"/>
  <c r="J51" i="67"/>
  <c r="C42" i="1"/>
  <c r="H100" i="43"/>
  <c r="AC34" i="33"/>
  <c r="AA34" i="33"/>
  <c r="B41" i="1"/>
  <c r="F48" i="9"/>
  <c r="O52" i="9"/>
  <c r="S22" i="31"/>
  <c r="J100" i="43"/>
  <c r="AB37" i="40"/>
  <c r="S35" i="40"/>
  <c r="U35" i="40"/>
  <c r="AC36" i="40"/>
  <c r="W38" i="40"/>
  <c r="AA32" i="40"/>
  <c r="S17" i="40"/>
  <c r="S23" i="40"/>
  <c r="AC17" i="40"/>
  <c r="AC15" i="40"/>
  <c r="AB27"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c r="D7" i="52"/>
  <c r="F34" i="67"/>
  <c r="F62" i="67"/>
  <c r="M20" i="67"/>
  <c r="F34" i="15"/>
  <c r="F62" i="15"/>
  <c r="E10" i="6"/>
  <c r="E11" i="6"/>
  <c r="E60" i="39"/>
  <c r="BL17" i="3"/>
  <c r="AZ17" i="3"/>
  <c r="BL13" i="3"/>
  <c r="E64" i="39"/>
  <c r="J56" i="9"/>
  <c r="J57" i="9"/>
  <c r="J59" i="9"/>
  <c r="J61" i="9"/>
  <c r="A24" i="51"/>
  <c r="B18" i="72"/>
  <c r="U29" i="34"/>
  <c r="C106" i="43"/>
  <c r="E14" i="6"/>
  <c r="E63" i="39"/>
  <c r="E5" i="6"/>
  <c r="D9" i="11"/>
  <c r="C9" i="11"/>
  <c r="J105" i="43"/>
  <c r="I115" i="43"/>
  <c r="J115" i="43"/>
  <c r="K115" i="43"/>
  <c r="L115" i="43"/>
  <c r="M115" i="43"/>
  <c r="G102" i="43"/>
  <c r="P10" i="1"/>
  <c r="H22" i="43"/>
  <c r="L101" i="43"/>
  <c r="L109" i="43"/>
  <c r="H101" i="43"/>
  <c r="D101" i="43"/>
  <c r="M101" i="43"/>
  <c r="I101"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c r="F109" i="43"/>
  <c r="AJ11" i="43"/>
  <c r="AJ13" i="43"/>
  <c r="AH11" i="43"/>
  <c r="AF11" i="43"/>
  <c r="AF13" i="43"/>
  <c r="AD11" i="43"/>
  <c r="AB11" i="43"/>
  <c r="AB13" i="43"/>
  <c r="Z11" i="43"/>
  <c r="Z7" i="43"/>
  <c r="S5" i="43"/>
  <c r="AI11" i="43"/>
  <c r="AI13" i="43"/>
  <c r="AG11" i="43"/>
  <c r="AE11" i="43"/>
  <c r="AE13" i="43"/>
  <c r="AC11" i="43"/>
  <c r="AA11" i="43"/>
  <c r="AA13" i="43"/>
  <c r="Y11" i="43"/>
  <c r="Y13" i="43"/>
  <c r="E48" i="43"/>
  <c r="B46" i="43"/>
  <c r="E70" i="43"/>
  <c r="B68" i="43"/>
  <c r="G109" i="43"/>
  <c r="N109" i="43"/>
  <c r="F100" i="43"/>
  <c r="H17" i="43"/>
  <c r="H85" i="43"/>
  <c r="H81" i="43"/>
  <c r="H84" i="43"/>
  <c r="H88" i="43"/>
  <c r="H53" i="43"/>
  <c r="H78" i="43"/>
  <c r="H71" i="43"/>
  <c r="C17" i="43"/>
  <c r="F33" i="43"/>
  <c r="K17" i="43"/>
  <c r="F34" i="43"/>
  <c r="N6" i="43"/>
  <c r="C6" i="43"/>
  <c r="N3" i="43"/>
  <c r="F38" i="43"/>
  <c r="F37" i="43"/>
  <c r="M9" i="43"/>
  <c r="N5" i="43"/>
  <c r="M12" i="43"/>
  <c r="B19" i="53"/>
  <c r="B37" i="72"/>
  <c r="C7" i="39"/>
  <c r="C67" i="39"/>
  <c r="C69" i="39"/>
  <c r="C7" i="35"/>
  <c r="C7" i="33"/>
  <c r="C58" i="33"/>
  <c r="C7" i="21"/>
  <c r="C58" i="21"/>
  <c r="C7" i="40"/>
  <c r="C63" i="40"/>
  <c r="M47" i="9"/>
  <c r="G19" i="43"/>
  <c r="O19" i="43"/>
  <c r="C19" i="43"/>
  <c r="T35" i="4"/>
  <c r="A19" i="51"/>
  <c r="B14" i="72"/>
  <c r="C46" i="36"/>
  <c r="D46" i="36"/>
  <c r="C59" i="34"/>
  <c r="D59" i="34"/>
  <c r="E59" i="34"/>
  <c r="F59" i="34"/>
  <c r="G59" i="34"/>
  <c r="H59" i="34"/>
  <c r="C52" i="37"/>
  <c r="D52" i="37"/>
  <c r="C48" i="35"/>
  <c r="D48" i="35"/>
  <c r="C4" i="12"/>
  <c r="H66" i="43"/>
  <c r="H65" i="43"/>
  <c r="H64" i="43"/>
  <c r="H63" i="43"/>
  <c r="H55" i="43"/>
  <c r="H56" i="43"/>
  <c r="H72" i="43"/>
  <c r="L20" i="6"/>
  <c r="E61" i="39"/>
  <c r="E56" i="39"/>
  <c r="E51" i="40"/>
  <c r="B6" i="1"/>
  <c r="E6" i="1"/>
  <c r="S8"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U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68"/>
  <c r="F48" i="68"/>
  <c r="F30" i="11"/>
  <c r="C48" i="11"/>
  <c r="F28" i="67"/>
  <c r="F31" i="12"/>
  <c r="F52" i="9"/>
  <c r="M18" i="67"/>
  <c r="F32" i="67"/>
  <c r="F60" i="67"/>
  <c r="F30" i="69"/>
  <c r="F32" i="15"/>
  <c r="F60" i="15"/>
  <c r="M18" i="15"/>
  <c r="F28" i="15"/>
  <c r="E62" i="39"/>
  <c r="T11" i="1"/>
  <c r="D9" i="69"/>
  <c r="C9" i="69"/>
  <c r="AQ9" i="1"/>
  <c r="AR11" i="1"/>
  <c r="E59" i="40"/>
  <c r="C28" i="15"/>
  <c r="T9" i="1"/>
  <c r="T13" i="1"/>
  <c r="E16" i="6"/>
  <c r="E53" i="3"/>
  <c r="E125" i="3"/>
  <c r="E175" i="3"/>
  <c r="E217" i="3"/>
  <c r="E319" i="3"/>
  <c r="E366" i="3"/>
  <c r="E530" i="3"/>
  <c r="E526" i="3"/>
  <c r="E501" i="3"/>
  <c r="E553" i="3"/>
  <c r="E343" i="3"/>
  <c r="E268" i="3"/>
  <c r="E153" i="3"/>
  <c r="E282" i="3"/>
  <c r="E305" i="3"/>
  <c r="E322" i="3"/>
  <c r="E426" i="3"/>
  <c r="N6" i="3"/>
  <c r="E508" i="3"/>
  <c r="AJ6" i="3"/>
  <c r="E328" i="3"/>
  <c r="E65" i="39"/>
  <c r="S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02" i="43"/>
  <c r="E104" i="43"/>
  <c r="E106" i="43"/>
  <c r="E107" i="43"/>
  <c r="E103" i="43"/>
  <c r="E105" i="43"/>
  <c r="M102" i="43"/>
  <c r="M104" i="43"/>
  <c r="M106" i="43"/>
  <c r="M107" i="43"/>
  <c r="M103" i="43"/>
  <c r="M105" i="43"/>
  <c r="H102" i="43"/>
  <c r="H107" i="43"/>
  <c r="H103" i="43"/>
  <c r="H106" i="43"/>
  <c r="H104" i="43"/>
  <c r="H105" i="43"/>
  <c r="AQ6" i="1"/>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L27" i="6"/>
  <c r="AP7" i="1"/>
  <c r="O7" i="1"/>
  <c r="P7" i="1"/>
  <c r="Q16" i="1"/>
  <c r="F27" i="69"/>
  <c r="H16" i="1"/>
  <c r="AB45" i="21"/>
  <c r="AC33" i="21"/>
  <c r="W33" i="21"/>
  <c r="S33" i="21"/>
  <c r="AA33" i="21"/>
  <c r="W32" i="21"/>
  <c r="AC32" i="21"/>
  <c r="AB9" i="21"/>
  <c r="U9" i="21"/>
  <c r="AA32" i="21"/>
  <c r="S32" i="21"/>
  <c r="W9" i="21"/>
  <c r="AC9" i="21"/>
  <c r="AB32" i="21"/>
  <c r="U32" i="21"/>
  <c r="AA10" i="21"/>
  <c r="S10" i="21"/>
  <c r="C36" i="69"/>
  <c r="T7" i="1"/>
  <c r="AR7" i="1"/>
  <c r="C30" i="11"/>
  <c r="E6" i="70"/>
  <c r="E2" i="70"/>
  <c r="A18" i="62"/>
  <c r="B64" i="72"/>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11" i="34"/>
  <c r="AC36" i="33"/>
  <c r="W36" i="33"/>
  <c r="U36" i="33"/>
  <c r="AB36" i="33"/>
  <c r="W27" i="33"/>
  <c r="AC27" i="33"/>
  <c r="W25" i="33"/>
  <c r="AC25" i="33"/>
  <c r="AA23" i="33"/>
  <c r="S23" i="33"/>
  <c r="AB19" i="33"/>
  <c r="U19" i="33"/>
  <c r="AA17" i="33"/>
  <c r="S17" i="33"/>
  <c r="U17" i="33"/>
  <c r="AB17" i="33"/>
  <c r="U23" i="21"/>
  <c r="AB23" i="21"/>
  <c r="AC23" i="21"/>
  <c r="W23" i="21"/>
  <c r="AN6" i="3"/>
  <c r="AC6" i="3"/>
  <c r="F28" i="12"/>
  <c r="F27" i="11"/>
  <c r="AC11" i="37"/>
  <c r="W11" i="37"/>
  <c r="AC11" i="34"/>
  <c r="R7" i="1"/>
  <c r="F34" i="11"/>
  <c r="F11" i="12"/>
  <c r="C23" i="12"/>
  <c r="C47" i="11"/>
  <c r="D45" i="11"/>
  <c r="C29" i="11"/>
  <c r="D27" i="11"/>
  <c r="R8" i="1"/>
  <c r="S16" i="1"/>
  <c r="AE7" i="1"/>
  <c r="AE8" i="1"/>
  <c r="H109" i="9"/>
  <c r="M49" i="9"/>
  <c r="H110" i="9"/>
  <c r="D18" i="53"/>
  <c r="B35" i="72"/>
  <c r="D16" i="53"/>
  <c r="B34" i="72"/>
  <c r="H112" i="9"/>
  <c r="D21" i="53"/>
  <c r="B39" i="72"/>
  <c r="H111" i="9"/>
  <c r="D126" i="9"/>
  <c r="D19" i="53"/>
  <c r="B38" i="72"/>
  <c r="D20" i="53"/>
  <c r="B40" i="72"/>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c r="E46" i="36"/>
  <c r="F46" i="36"/>
  <c r="G46" i="36"/>
  <c r="H46" i="36"/>
  <c r="I46" i="36"/>
  <c r="C24" i="12"/>
  <c r="C48" i="68"/>
  <c r="AB19" i="71"/>
  <c r="X17" i="71"/>
  <c r="X16" i="71"/>
  <c r="AA17" i="71"/>
  <c r="AA16" i="71"/>
  <c r="X20" i="71"/>
  <c r="Y16" i="71"/>
  <c r="Z16" i="71"/>
  <c r="AB17" i="71"/>
  <c r="AB16" i="71"/>
  <c r="C94" i="9"/>
  <c r="C92" i="9"/>
  <c r="Y17" i="71"/>
  <c r="Z17" i="71"/>
  <c r="X3" i="71"/>
  <c r="E18" i="71"/>
  <c r="E17" i="71"/>
  <c r="G20" i="43"/>
  <c r="I59" i="34"/>
  <c r="J59" i="34"/>
  <c r="L47" i="67"/>
  <c r="F26" i="67"/>
  <c r="D2" i="21"/>
  <c r="F38" i="67"/>
  <c r="AO13" i="1"/>
  <c r="M6" i="67"/>
  <c r="B9" i="76"/>
  <c r="B8" i="76"/>
  <c r="E7" i="76"/>
  <c r="E13" i="76"/>
  <c r="M9" i="67"/>
  <c r="E9" i="76"/>
  <c r="D35" i="9"/>
  <c r="D3" i="73"/>
  <c r="D4" i="73"/>
  <c r="J57" i="15"/>
  <c r="J55" i="15"/>
  <c r="J58" i="15"/>
  <c r="J59" i="15"/>
  <c r="J53" i="15"/>
  <c r="C76" i="15"/>
  <c r="L51" i="15"/>
  <c r="L57" i="15"/>
  <c r="L47" i="15"/>
  <c r="L58" i="15"/>
  <c r="L59" i="15"/>
  <c r="L60" i="15"/>
  <c r="AO6" i="1"/>
  <c r="F7" i="73"/>
  <c r="D2" i="37"/>
  <c r="F35" i="67"/>
  <c r="E11" i="76"/>
  <c r="D2" i="33"/>
  <c r="M27" i="67"/>
  <c r="D7" i="73"/>
  <c r="F36" i="67"/>
  <c r="E10" i="76"/>
  <c r="B7" i="76"/>
  <c r="F40" i="67"/>
  <c r="F3" i="73"/>
  <c r="F8" i="67"/>
  <c r="D34" i="9"/>
  <c r="D2" i="34"/>
  <c r="F5" i="73"/>
  <c r="B13" i="76"/>
  <c r="F9" i="67"/>
  <c r="J15" i="67"/>
  <c r="F16" i="67"/>
  <c r="F43" i="67"/>
  <c r="M29" i="15"/>
  <c r="B12" i="76"/>
  <c r="AO11" i="1"/>
  <c r="B11" i="76"/>
  <c r="E12" i="76"/>
  <c r="D6" i="73"/>
  <c r="D2" i="36"/>
  <c r="E8" i="76"/>
  <c r="E2" i="69"/>
  <c r="M21" i="67"/>
  <c r="C76" i="67"/>
  <c r="F20" i="31"/>
  <c r="M26" i="67"/>
  <c r="F7" i="67"/>
  <c r="M28" i="67"/>
  <c r="AO10" i="1"/>
  <c r="M8" i="67"/>
  <c r="F41" i="67"/>
  <c r="AO12" i="1"/>
  <c r="F42" i="67"/>
  <c r="D2" i="35"/>
  <c r="B10" i="76"/>
  <c r="M22" i="67"/>
  <c r="L48" i="67"/>
  <c r="M23" i="67"/>
  <c r="AO8" i="1"/>
  <c r="F37" i="67"/>
  <c r="AO9" i="1"/>
  <c r="M24" i="67"/>
  <c r="F13" i="67"/>
  <c r="F6" i="73"/>
  <c r="AO7" i="1"/>
  <c r="F6" i="67"/>
  <c r="M29" i="67"/>
  <c r="G6" i="1"/>
  <c r="G12" i="1"/>
  <c r="C20" i="43"/>
  <c r="G7" i="1"/>
  <c r="A2" i="9"/>
  <c r="A118" i="9"/>
  <c r="E16" i="71"/>
  <c r="E15" i="71"/>
  <c r="E14" i="71"/>
  <c r="E13" i="71"/>
  <c r="V17" i="71"/>
  <c r="I14" i="74"/>
  <c r="B8" i="74"/>
  <c r="D127" i="9"/>
  <c r="D13" i="52"/>
  <c r="D12" i="52"/>
  <c r="L68" i="9"/>
  <c r="M68" i="9"/>
  <c r="L65" i="9"/>
  <c r="M65" i="9"/>
  <c r="L66" i="9"/>
  <c r="M66" i="9"/>
  <c r="L64" i="9"/>
  <c r="M64" i="9"/>
  <c r="L63" i="9"/>
  <c r="M63" i="9"/>
  <c r="M69" i="9"/>
  <c r="N69" i="9"/>
  <c r="L67" i="9"/>
  <c r="M67" i="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c r="E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O9" i="1"/>
  <c r="P9" i="1"/>
  <c r="E28" i="6"/>
  <c r="G30" i="6"/>
  <c r="G31" i="6"/>
  <c r="W27" i="21"/>
  <c r="AC27" i="21"/>
  <c r="D17" i="53"/>
  <c r="B36" i="72"/>
  <c r="D124" i="9"/>
  <c r="F48" i="69"/>
  <c r="C48" i="69"/>
  <c r="AZ521" i="3"/>
  <c r="E586" i="3"/>
  <c r="S12" i="21"/>
  <c r="AA12" i="21"/>
  <c r="D19" i="12"/>
  <c r="C19" i="12"/>
  <c r="AC15" i="21"/>
  <c r="AA11" i="37"/>
  <c r="S43" i="34"/>
  <c r="S32" i="37"/>
  <c r="S27" i="36"/>
  <c r="S30" i="40"/>
  <c r="F53" i="9"/>
  <c r="D117" i="43"/>
  <c r="E117" i="43"/>
  <c r="F117" i="43"/>
  <c r="G117" i="43"/>
  <c r="H117" i="43"/>
  <c r="C31" i="12"/>
  <c r="AA39" i="34"/>
  <c r="W31" i="34"/>
  <c r="AB30" i="21"/>
  <c r="AA13" i="35"/>
  <c r="S41" i="33"/>
  <c r="AZ409" i="3"/>
  <c r="AZ425" i="3"/>
  <c r="J9" i="34"/>
  <c r="H9" i="34"/>
  <c r="AZ399" i="3"/>
  <c r="AZ404" i="3"/>
  <c r="AZ414" i="3"/>
  <c r="AZ421" i="3"/>
  <c r="AZ423" i="3"/>
  <c r="AZ430" i="3"/>
  <c r="AZ440" i="3"/>
  <c r="AZ449" i="3"/>
  <c r="AZ453" i="3"/>
  <c r="AZ455" i="3"/>
  <c r="F34" i="35"/>
  <c r="H34" i="35"/>
  <c r="J36" i="35"/>
  <c r="AZ471" i="3"/>
  <c r="AZ476" i="3"/>
  <c r="AZ478" i="3"/>
  <c r="AZ484" i="3"/>
  <c r="AZ492" i="3"/>
  <c r="AZ395" i="3"/>
  <c r="AZ208" i="3"/>
  <c r="AZ211" i="3"/>
  <c r="AZ219" i="3"/>
  <c r="AZ228" i="3"/>
  <c r="AZ231" i="3"/>
  <c r="AZ244" i="3"/>
  <c r="AZ247" i="3"/>
  <c r="AZ260" i="3"/>
  <c r="AZ264" i="3"/>
  <c r="AZ272" i="3"/>
  <c r="AZ277" i="3"/>
  <c r="AZ282" i="3"/>
  <c r="AZ285" i="3"/>
  <c r="AZ290" i="3"/>
  <c r="AZ293" i="3"/>
  <c r="AZ134" i="3"/>
  <c r="AZ137" i="3"/>
  <c r="AZ145" i="3"/>
  <c r="AZ161" i="3"/>
  <c r="AZ177" i="3"/>
  <c r="AZ193" i="3"/>
  <c r="AZ34" i="3"/>
  <c r="AZ38" i="3"/>
  <c r="AZ44" i="3"/>
  <c r="AZ48" i="3"/>
  <c r="AZ60" i="3"/>
  <c r="AZ64" i="3"/>
  <c r="AZ78" i="3"/>
  <c r="AZ91" i="3"/>
  <c r="AZ98" i="3"/>
  <c r="AZ104" i="3"/>
  <c r="AZ108" i="3"/>
  <c r="M108" i="43"/>
  <c r="M109" i="43"/>
  <c r="M100" i="43"/>
  <c r="I108" i="43"/>
  <c r="I109" i="43"/>
  <c r="I100" i="43"/>
  <c r="E108" i="43"/>
  <c r="E109" i="43"/>
  <c r="E100" i="43"/>
  <c r="F40" i="68"/>
  <c r="C21" i="68"/>
  <c r="C40" i="68"/>
  <c r="C40" i="71"/>
  <c r="D39" i="71"/>
  <c r="C44" i="71"/>
  <c r="D44" i="71"/>
  <c r="D43" i="71"/>
  <c r="D47" i="71"/>
  <c r="C48" i="71"/>
  <c r="D51" i="71"/>
  <c r="C52" i="71"/>
  <c r="D55" i="71"/>
  <c r="C56" i="71"/>
  <c r="D108" i="43"/>
  <c r="D109" i="43"/>
  <c r="D100" i="43"/>
  <c r="D113" i="43"/>
  <c r="Y5" i="71"/>
  <c r="Z5" i="71"/>
  <c r="X5" i="71"/>
  <c r="AB5" i="71"/>
  <c r="AA5" i="71"/>
  <c r="D32" i="71"/>
  <c r="C33" i="71"/>
  <c r="Y6" i="71"/>
  <c r="Z6" i="71"/>
  <c r="Y7" i="71"/>
  <c r="Z7" i="71"/>
  <c r="AA6" i="71"/>
  <c r="AA7" i="71"/>
  <c r="AF10" i="43"/>
  <c r="AC12" i="43"/>
  <c r="AC13" i="43"/>
  <c r="AC10" i="43"/>
  <c r="AG12" i="43"/>
  <c r="AG13" i="43"/>
  <c r="AG10" i="43"/>
  <c r="Y19" i="71"/>
  <c r="Z19" i="71"/>
  <c r="Y20" i="71"/>
  <c r="Z20" i="71"/>
  <c r="C21" i="71"/>
  <c r="Y18" i="71"/>
  <c r="Z18" i="71"/>
  <c r="AB20" i="71"/>
  <c r="AB21" i="71"/>
  <c r="AB18" i="71"/>
  <c r="AA18" i="71"/>
  <c r="Y15" i="71"/>
  <c r="Z15" i="71"/>
  <c r="AB15" i="71"/>
  <c r="X14" i="71"/>
  <c r="AA14" i="71"/>
  <c r="U18" i="36"/>
  <c r="X6" i="71"/>
  <c r="X7" i="71"/>
  <c r="Y36" i="71"/>
  <c r="Z36" i="71"/>
  <c r="AA36" i="71"/>
  <c r="AB6" i="71"/>
  <c r="F64" i="71"/>
  <c r="Z12" i="43"/>
  <c r="Z13" i="43"/>
  <c r="Z10" i="43"/>
  <c r="AD12" i="43"/>
  <c r="AD13" i="43"/>
  <c r="AD10" i="43"/>
  <c r="AH12" i="43"/>
  <c r="AH13" i="43"/>
  <c r="AH10" i="43"/>
  <c r="Y21" i="71"/>
  <c r="Z21" i="71"/>
  <c r="F21" i="71"/>
  <c r="F20" i="71"/>
  <c r="F19" i="71"/>
  <c r="F18" i="71"/>
  <c r="F17" i="71"/>
  <c r="F16" i="71"/>
  <c r="F15" i="71"/>
  <c r="F14" i="71"/>
  <c r="AA20" i="71"/>
  <c r="AA21" i="71"/>
  <c r="AA19" i="71"/>
  <c r="X19" i="71"/>
  <c r="B21" i="71"/>
  <c r="X18" i="71"/>
  <c r="X15" i="71"/>
  <c r="Y11" i="71"/>
  <c r="Z11" i="71"/>
  <c r="Y14" i="71"/>
  <c r="Z14" i="71"/>
  <c r="AB14" i="71"/>
  <c r="AA15" i="71"/>
  <c r="X12" i="71"/>
  <c r="AA12" i="71"/>
  <c r="AB8" i="71"/>
  <c r="AB10" i="71"/>
  <c r="AB7" i="71"/>
  <c r="Y8" i="71"/>
  <c r="Z8" i="71"/>
  <c r="Y10" i="71"/>
  <c r="Z10" i="71"/>
  <c r="AA10" i="71"/>
  <c r="AA11" i="71"/>
  <c r="X9" i="71"/>
  <c r="X10" i="71"/>
  <c r="AB12" i="71"/>
  <c r="AB9" i="71"/>
  <c r="AB11" i="71"/>
  <c r="Y9" i="71"/>
  <c r="Z9" i="71"/>
  <c r="AA8" i="71"/>
  <c r="AA9" i="71"/>
  <c r="X8" i="71"/>
  <c r="X11" i="71"/>
  <c r="E41" i="43"/>
  <c r="C41" i="43"/>
  <c r="E67" i="39"/>
  <c r="AC21" i="39"/>
  <c r="AB23" i="39"/>
  <c r="AB15" i="39"/>
  <c r="AC15" i="39"/>
  <c r="S25" i="39"/>
  <c r="W39" i="39"/>
  <c r="W42" i="39"/>
  <c r="W14" i="39"/>
  <c r="S29" i="39"/>
  <c r="G17" i="43"/>
  <c r="C16" i="43"/>
  <c r="C5" i="43"/>
  <c r="E11" i="43"/>
  <c r="E9" i="43"/>
  <c r="E10" i="43"/>
  <c r="E8" i="43"/>
  <c r="C7" i="43"/>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C29" i="12"/>
  <c r="D28" i="12"/>
  <c r="F31" i="67"/>
  <c r="F31" i="15"/>
  <c r="K4" i="4"/>
  <c r="B46" i="48"/>
  <c r="B4" i="72"/>
  <c r="B4" i="62"/>
  <c r="B71" i="72"/>
  <c r="C47" i="69"/>
  <c r="D45" i="69"/>
  <c r="F45" i="69"/>
  <c r="F45" i="68"/>
  <c r="D9" i="53"/>
  <c r="B25" i="72"/>
  <c r="B24" i="72"/>
  <c r="K120" i="9"/>
  <c r="Y13" i="71"/>
  <c r="Z13" i="71"/>
  <c r="Y12" i="71"/>
  <c r="Z12" i="71"/>
  <c r="AA13" i="71"/>
  <c r="AB3" i="71"/>
  <c r="C29" i="69"/>
  <c r="D27" i="69"/>
  <c r="X13" i="71"/>
  <c r="AB13" i="71"/>
  <c r="Y3" i="71"/>
  <c r="Z3" i="71"/>
  <c r="F13" i="71"/>
  <c r="F12" i="71"/>
  <c r="F11" i="71"/>
  <c r="F10" i="71"/>
  <c r="F9" i="71"/>
  <c r="F8" i="71"/>
  <c r="F7" i="71"/>
  <c r="F6" i="71"/>
  <c r="F5" i="71"/>
  <c r="AF3" i="71"/>
  <c r="P22" i="43"/>
  <c r="R16" i="1"/>
  <c r="C6" i="67"/>
  <c r="D22" i="9"/>
  <c r="C102" i="9"/>
  <c r="B10" i="70"/>
  <c r="D102" i="9"/>
  <c r="Q71" i="15"/>
  <c r="B6" i="70"/>
  <c r="L56" i="15"/>
  <c r="Q50" i="15"/>
  <c r="I54" i="15"/>
  <c r="K1" i="73"/>
  <c r="B20" i="31"/>
  <c r="B21" i="31"/>
  <c r="F51" i="67"/>
  <c r="F65" i="67"/>
  <c r="J20" i="67"/>
  <c r="B12" i="70"/>
  <c r="J53" i="67"/>
  <c r="J57" i="67"/>
  <c r="J55" i="67"/>
  <c r="J58" i="67"/>
  <c r="Q50" i="67"/>
  <c r="L56" i="67"/>
  <c r="I54" i="67"/>
  <c r="F71" i="15"/>
  <c r="B7" i="70"/>
  <c r="F69" i="67"/>
  <c r="F66" i="67"/>
  <c r="B11" i="70"/>
  <c r="N59" i="15"/>
  <c r="M59" i="15"/>
  <c r="B8" i="70"/>
  <c r="Q71" i="67"/>
  <c r="F70" i="67"/>
  <c r="D103" i="9"/>
  <c r="C27" i="67"/>
  <c r="F71" i="67"/>
  <c r="B9" i="70"/>
  <c r="C103" i="9"/>
  <c r="N59" i="67"/>
  <c r="L59" i="67"/>
  <c r="L58" i="67"/>
  <c r="M59" i="67"/>
  <c r="B13" i="70"/>
  <c r="M7" i="67"/>
  <c r="J6" i="67"/>
  <c r="F50" i="67"/>
  <c r="F63" i="67"/>
  <c r="C62" i="67"/>
  <c r="C34" i="67"/>
  <c r="F68" i="67"/>
  <c r="F64" i="67"/>
  <c r="C17" i="67"/>
  <c r="C16" i="67"/>
  <c r="C14" i="67"/>
  <c r="G16" i="1"/>
  <c r="F10" i="39"/>
  <c r="S10" i="39"/>
  <c r="J10" i="39"/>
  <c r="AC10" i="39"/>
  <c r="B20" i="71"/>
  <c r="B19" i="71"/>
  <c r="B18" i="71"/>
  <c r="B17" i="71"/>
  <c r="S21" i="71"/>
  <c r="D56" i="71"/>
  <c r="C57" i="71"/>
  <c r="D52" i="71"/>
  <c r="C53" i="71"/>
  <c r="D48" i="71"/>
  <c r="C49" i="71"/>
  <c r="AB34" i="35"/>
  <c r="U34" i="35"/>
  <c r="U9" i="34"/>
  <c r="AB9" i="34"/>
  <c r="D10" i="52"/>
  <c r="D125" i="9"/>
  <c r="D11" i="52"/>
  <c r="H14" i="74"/>
  <c r="B7" i="74"/>
  <c r="F63" i="71"/>
  <c r="Q64" i="71"/>
  <c r="C20" i="71"/>
  <c r="T21" i="71"/>
  <c r="D21" i="71"/>
  <c r="U21" i="71"/>
  <c r="T33" i="71"/>
  <c r="D33" i="71"/>
  <c r="D40" i="71"/>
  <c r="C41" i="71"/>
  <c r="AC36" i="35"/>
  <c r="W36" i="35"/>
  <c r="AA34" i="35"/>
  <c r="S34" i="35"/>
  <c r="AC9" i="34"/>
  <c r="W9" i="34"/>
  <c r="K21" i="6"/>
  <c r="M21" i="6"/>
  <c r="I21" i="6"/>
  <c r="S21" i="6"/>
  <c r="K22" i="6"/>
  <c r="M22" i="6"/>
  <c r="I22" i="6"/>
  <c r="S22" i="6"/>
  <c r="K25" i="6"/>
  <c r="M25" i="6"/>
  <c r="I25" i="6"/>
  <c r="S25" i="6"/>
  <c r="K23" i="6"/>
  <c r="M23" i="6"/>
  <c r="I23" i="6"/>
  <c r="S23" i="6"/>
  <c r="K24" i="6"/>
  <c r="M24" i="6"/>
  <c r="I24" i="6"/>
  <c r="S24" i="6"/>
  <c r="E30" i="6"/>
  <c r="E31" i="6"/>
  <c r="K20" i="6"/>
  <c r="M20" i="6"/>
  <c r="I20" i="6"/>
  <c r="S20" i="6"/>
  <c r="K26" i="6"/>
  <c r="M26" i="6"/>
  <c r="I26" i="6"/>
  <c r="S26" i="6"/>
  <c r="E12" i="71"/>
  <c r="E11" i="71"/>
  <c r="E10" i="71"/>
  <c r="E9" i="71"/>
  <c r="V13" i="71"/>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H7" i="37"/>
  <c r="AB7" i="37"/>
  <c r="T42" i="37"/>
  <c r="G42" i="37"/>
  <c r="W10" i="39"/>
  <c r="AA10" i="39"/>
  <c r="H7" i="33"/>
  <c r="J7" i="33"/>
  <c r="D65" i="40"/>
  <c r="E63" i="40"/>
  <c r="F48" i="35"/>
  <c r="S7" i="36"/>
  <c r="AA7" i="36"/>
  <c r="R36" i="36"/>
  <c r="AC7" i="37"/>
  <c r="V42" i="37"/>
  <c r="I42" i="37"/>
  <c r="W7" i="37"/>
  <c r="AB7" i="36"/>
  <c r="T36" i="36"/>
  <c r="G36" i="36"/>
  <c r="U7" i="36"/>
  <c r="AB7" i="34"/>
  <c r="T49" i="34"/>
  <c r="G49" i="34"/>
  <c r="U7" i="34"/>
  <c r="AA7" i="34"/>
  <c r="R49" i="34"/>
  <c r="S7" i="34"/>
  <c r="F7" i="33"/>
  <c r="E58" i="21"/>
  <c r="AC7" i="36"/>
  <c r="V36" i="36"/>
  <c r="I36" i="36"/>
  <c r="W7" i="36"/>
  <c r="F7" i="37"/>
  <c r="W7" i="34"/>
  <c r="AC7" i="34"/>
  <c r="V49" i="34"/>
  <c r="I49" i="34"/>
  <c r="M17" i="67"/>
  <c r="M17" i="15"/>
  <c r="F59" i="15"/>
  <c r="P24" i="43"/>
  <c r="B66" i="40"/>
  <c r="P21" i="43"/>
  <c r="C49" i="67"/>
  <c r="P25" i="43"/>
  <c r="P23" i="43"/>
  <c r="B70" i="39"/>
  <c r="C15" i="67"/>
  <c r="C18" i="67"/>
  <c r="C32" i="67"/>
  <c r="C32" i="9"/>
  <c r="Q60" i="67"/>
  <c r="Q73" i="67"/>
  <c r="M28" i="43"/>
  <c r="N28" i="43"/>
  <c r="O28" i="43"/>
  <c r="P28" i="43"/>
  <c r="M11" i="67"/>
  <c r="J10" i="67"/>
  <c r="J5" i="67"/>
  <c r="F11" i="67"/>
  <c r="F1" i="15"/>
  <c r="Q52" i="15"/>
  <c r="J18" i="67"/>
  <c r="F1" i="67"/>
  <c r="Q52" i="67"/>
  <c r="Q60" i="15"/>
  <c r="Q73" i="15"/>
  <c r="Q61" i="67"/>
  <c r="Q74" i="67"/>
  <c r="Q74" i="15"/>
  <c r="Q61" i="15"/>
  <c r="B2" i="70"/>
  <c r="B3" i="70"/>
  <c r="H10" i="39"/>
  <c r="U10" i="39"/>
  <c r="H10" i="40"/>
  <c r="U10" i="40"/>
  <c r="F10" i="40"/>
  <c r="AA10" i="40"/>
  <c r="J10" i="40"/>
  <c r="S10" i="40"/>
  <c r="AB10" i="40"/>
  <c r="U7" i="37"/>
  <c r="E8" i="71"/>
  <c r="E7" i="71"/>
  <c r="E6" i="71"/>
  <c r="E5" i="71"/>
  <c r="V9" i="71"/>
  <c r="K16" i="1"/>
  <c r="C34" i="69"/>
  <c r="T41" i="71"/>
  <c r="D41" i="71"/>
  <c r="C19" i="71"/>
  <c r="D20" i="71"/>
  <c r="Q63" i="71"/>
  <c r="Q62" i="71"/>
  <c r="B16" i="71"/>
  <c r="B15" i="71"/>
  <c r="B14" i="71"/>
  <c r="B13" i="71"/>
  <c r="S17" i="71"/>
  <c r="D3" i="34"/>
  <c r="D3" i="33"/>
  <c r="D19" i="11"/>
  <c r="C19" i="11"/>
  <c r="C17" i="4"/>
  <c r="B4" i="52"/>
  <c r="B43" i="72"/>
  <c r="L18" i="9"/>
  <c r="D3" i="37"/>
  <c r="D3" i="21"/>
  <c r="E6" i="6"/>
  <c r="D37" i="11"/>
  <c r="C37" i="11"/>
  <c r="D14" i="12"/>
  <c r="M18" i="9"/>
  <c r="B118" i="9"/>
  <c r="B1" i="74"/>
  <c r="C8" i="74"/>
  <c r="K27" i="6"/>
  <c r="C7" i="74"/>
  <c r="T49" i="71"/>
  <c r="D49" i="71"/>
  <c r="T53" i="71"/>
  <c r="D53" i="71"/>
  <c r="T57" i="71"/>
  <c r="D57"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9" i="67"/>
  <c r="C20" i="67"/>
  <c r="C26" i="67"/>
  <c r="F24" i="67"/>
  <c r="C23" i="67"/>
  <c r="C24" i="67"/>
  <c r="C29" i="67"/>
  <c r="J19" i="67"/>
  <c r="J17" i="67"/>
  <c r="J14" i="67"/>
  <c r="J22" i="67"/>
  <c r="J13" i="67"/>
  <c r="J23" i="67"/>
  <c r="J24" i="67"/>
  <c r="J16" i="67"/>
  <c r="J25" i="67"/>
  <c r="J26" i="67"/>
  <c r="J29" i="67"/>
  <c r="C53" i="67"/>
  <c r="C48" i="67"/>
  <c r="C10" i="67"/>
  <c r="C5" i="67"/>
  <c r="F25" i="12"/>
  <c r="F22" i="69"/>
  <c r="F41" i="69"/>
  <c r="F22" i="11"/>
  <c r="C35" i="9"/>
  <c r="AB10" i="39"/>
  <c r="AC10" i="40"/>
  <c r="W10" i="40"/>
  <c r="H20" i="6"/>
  <c r="M19" i="9"/>
  <c r="C118" i="9"/>
  <c r="C14" i="74"/>
  <c r="B2" i="74"/>
  <c r="D26" i="6"/>
  <c r="C18" i="4"/>
  <c r="D8" i="6"/>
  <c r="D9" i="6"/>
  <c r="D10" i="6"/>
  <c r="D11" i="6"/>
  <c r="D12" i="6"/>
  <c r="D13" i="6"/>
  <c r="D14" i="6"/>
  <c r="D15" i="6"/>
  <c r="D16" i="6"/>
  <c r="D23" i="6"/>
  <c r="D5" i="6"/>
  <c r="D28" i="6"/>
  <c r="D29" i="6"/>
  <c r="D30" i="6"/>
  <c r="E61" i="40"/>
  <c r="H23" i="6"/>
  <c r="H26" i="6"/>
  <c r="D25" i="6"/>
  <c r="D22" i="6"/>
  <c r="D21" i="6"/>
  <c r="D24" i="6"/>
  <c r="D20" i="6"/>
  <c r="R20" i="6"/>
  <c r="D6" i="6"/>
  <c r="L19" i="9"/>
  <c r="H25" i="6"/>
  <c r="H22" i="6"/>
  <c r="H21" i="6"/>
  <c r="H24" i="6"/>
  <c r="C35" i="69"/>
  <c r="C38" i="69"/>
  <c r="O14" i="1"/>
  <c r="O16" i="1"/>
  <c r="T16" i="1"/>
  <c r="M27" i="6"/>
  <c r="D17" i="12"/>
  <c r="C17" i="12"/>
  <c r="C14" i="12"/>
  <c r="D10" i="11"/>
  <c r="C10" i="11"/>
  <c r="D20" i="12"/>
  <c r="C20" i="12"/>
  <c r="C18" i="12"/>
  <c r="C20" i="11"/>
  <c r="C28" i="11"/>
  <c r="C27" i="11"/>
  <c r="B12" i="71"/>
  <c r="B11" i="71"/>
  <c r="B10" i="71"/>
  <c r="B9" i="71"/>
  <c r="S13" i="71"/>
  <c r="C18" i="71"/>
  <c r="D19" i="71"/>
  <c r="H67" i="39"/>
  <c r="G69" i="39"/>
  <c r="E38" i="43"/>
  <c r="G38" i="43"/>
  <c r="I38" i="43"/>
  <c r="E33" i="43"/>
  <c r="C26" i="43"/>
  <c r="B2" i="43"/>
  <c r="G33" i="43"/>
  <c r="I33" i="43"/>
  <c r="C27" i="43"/>
  <c r="E36" i="43"/>
  <c r="G36" i="43"/>
  <c r="I36" i="43"/>
  <c r="G34" i="43"/>
  <c r="I34" i="43"/>
  <c r="E34" i="43"/>
  <c r="E37" i="43"/>
  <c r="G37" i="43"/>
  <c r="I37" i="43"/>
  <c r="E35" i="43"/>
  <c r="G35" i="43"/>
  <c r="I35" i="43"/>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F41" i="68"/>
  <c r="C26" i="69"/>
  <c r="D22" i="69"/>
  <c r="C44" i="69"/>
  <c r="D41" i="69"/>
  <c r="C26" i="12"/>
  <c r="D25" i="12"/>
  <c r="C44" i="11"/>
  <c r="D41" i="11"/>
  <c r="C23" i="11"/>
  <c r="C24" i="11"/>
  <c r="C25" i="11"/>
  <c r="C26" i="11"/>
  <c r="D22" i="11"/>
  <c r="C38" i="67"/>
  <c r="C34" i="9"/>
  <c r="C66" i="67"/>
  <c r="C60" i="67"/>
  <c r="B6" i="76"/>
  <c r="E6" i="76"/>
  <c r="D18" i="71"/>
  <c r="C17" i="71"/>
  <c r="B8" i="71"/>
  <c r="B7" i="71"/>
  <c r="B6" i="71"/>
  <c r="B5" i="71"/>
  <c r="S9" i="71"/>
  <c r="L16" i="1"/>
  <c r="C34" i="11"/>
  <c r="P14" i="1"/>
  <c r="P16" i="1"/>
  <c r="C11" i="12"/>
  <c r="R24" i="6"/>
  <c r="R22" i="6"/>
  <c r="R25" i="6"/>
  <c r="R26" i="6"/>
  <c r="D8" i="74"/>
  <c r="D7" i="74"/>
  <c r="C10" i="69"/>
  <c r="C8" i="69"/>
  <c r="C5" i="69"/>
  <c r="D19" i="69"/>
  <c r="S19" i="6"/>
  <c r="S27" i="6"/>
  <c r="I27" i="6"/>
  <c r="C21" i="9"/>
  <c r="D21" i="9"/>
  <c r="G21" i="9"/>
  <c r="R21" i="6"/>
  <c r="H27" i="6"/>
  <c r="R23" i="6"/>
  <c r="A7" i="51"/>
  <c r="B7" i="72"/>
  <c r="C4" i="52"/>
  <c r="B45" i="72"/>
  <c r="A10" i="51"/>
  <c r="B9" i="72"/>
  <c r="D27" i="6"/>
  <c r="D31" i="6"/>
  <c r="R27" i="6"/>
  <c r="H69" i="39"/>
  <c r="I67" i="39"/>
  <c r="E2" i="76"/>
  <c r="G65" i="40"/>
  <c r="H63" i="40"/>
  <c r="C43" i="37"/>
  <c r="B2" i="37"/>
  <c r="B3" i="37"/>
  <c r="C42" i="37"/>
  <c r="I48" i="35"/>
  <c r="C48" i="33"/>
  <c r="C49" i="33"/>
  <c r="B2" i="33"/>
  <c r="B3" i="33"/>
  <c r="H58" i="21"/>
  <c r="E47" i="37"/>
  <c r="F47" i="37"/>
  <c r="E46" i="37"/>
  <c r="F46" i="37"/>
  <c r="I47" i="37"/>
  <c r="J47" i="37"/>
  <c r="E53" i="33"/>
  <c r="F53" i="33"/>
  <c r="E52" i="33"/>
  <c r="F52" i="33"/>
  <c r="B2" i="76"/>
  <c r="B3" i="43"/>
  <c r="Q49" i="15"/>
  <c r="C22" i="11"/>
  <c r="C31" i="11"/>
  <c r="C36" i="67"/>
  <c r="C33" i="67"/>
  <c r="C31" i="67"/>
  <c r="C13" i="67"/>
  <c r="C57" i="67"/>
  <c r="C61" i="67"/>
  <c r="Q49" i="67"/>
  <c r="J59" i="67"/>
  <c r="J60" i="67"/>
  <c r="C23" i="69"/>
  <c r="C19" i="68"/>
  <c r="C16" i="71"/>
  <c r="T17" i="71"/>
  <c r="D17" i="71"/>
  <c r="U17" i="71"/>
  <c r="I6" i="6"/>
  <c r="I5" i="6"/>
  <c r="C19" i="69"/>
  <c r="C24" i="69"/>
  <c r="D37" i="69"/>
  <c r="C37" i="69"/>
  <c r="C33" i="69"/>
  <c r="C15" i="12"/>
  <c r="C12" i="12"/>
  <c r="C38" i="11"/>
  <c r="C35" i="11"/>
  <c r="F50" i="11"/>
  <c r="F50" i="69"/>
  <c r="I69" i="39"/>
  <c r="J67" i="39"/>
  <c r="B3" i="76"/>
  <c r="I63" i="40"/>
  <c r="H65" i="40"/>
  <c r="I58" i="21"/>
  <c r="J58" i="21"/>
  <c r="K58" i="21"/>
  <c r="L58" i="21"/>
  <c r="M58" i="21"/>
  <c r="N58" i="21"/>
  <c r="O58" i="21"/>
  <c r="H7" i="21"/>
  <c r="F7" i="21"/>
  <c r="J48" i="35"/>
  <c r="Q48" i="15"/>
  <c r="C59" i="67"/>
  <c r="C64" i="67"/>
  <c r="Q48" i="67"/>
  <c r="C37" i="67"/>
  <c r="C30" i="67"/>
  <c r="C39" i="67"/>
  <c r="L51" i="67"/>
  <c r="L57" i="67"/>
  <c r="L60" i="67"/>
  <c r="L46" i="67"/>
  <c r="C56" i="67"/>
  <c r="C65" i="67"/>
  <c r="C75" i="67"/>
  <c r="Q70" i="67"/>
  <c r="Q70" i="15"/>
  <c r="C75" i="15"/>
  <c r="J7" i="21"/>
  <c r="C16" i="12"/>
  <c r="C21" i="12"/>
  <c r="C22" i="12"/>
  <c r="C30" i="12"/>
  <c r="C28" i="12"/>
  <c r="C20" i="69"/>
  <c r="C25" i="69"/>
  <c r="C22" i="69"/>
  <c r="C33" i="11"/>
  <c r="C39" i="69"/>
  <c r="C43" i="69"/>
  <c r="C42" i="69"/>
  <c r="C15" i="71"/>
  <c r="D16" i="71"/>
  <c r="J69" i="39"/>
  <c r="K67" i="39"/>
  <c r="U7" i="21"/>
  <c r="AB7" i="21"/>
  <c r="T48" i="21"/>
  <c r="G48" i="21"/>
  <c r="S7" i="21"/>
  <c r="AA7" i="21"/>
  <c r="R48" i="21"/>
  <c r="J63" i="40"/>
  <c r="I65" i="40"/>
  <c r="K48" i="35"/>
  <c r="L48" i="35"/>
  <c r="M48" i="35"/>
  <c r="N48" i="35"/>
  <c r="O48" i="35"/>
  <c r="H7" i="35"/>
  <c r="J7" i="35"/>
  <c r="AC7" i="21"/>
  <c r="V48" i="21"/>
  <c r="I48" i="21"/>
  <c r="W7" i="21"/>
  <c r="C71" i="15"/>
  <c r="C80" i="67"/>
  <c r="C79" i="67"/>
  <c r="C80" i="15"/>
  <c r="C79" i="15"/>
  <c r="C58" i="67"/>
  <c r="C67" i="67"/>
  <c r="C68" i="67"/>
  <c r="Q69" i="15"/>
  <c r="Q68" i="15"/>
  <c r="Q69" i="67"/>
  <c r="Q68" i="67"/>
  <c r="C40" i="67"/>
  <c r="C28" i="69"/>
  <c r="C27" i="69"/>
  <c r="C31" i="69"/>
  <c r="C41" i="69"/>
  <c r="C46" i="69"/>
  <c r="C45" i="69"/>
  <c r="C27" i="12"/>
  <c r="C25" i="12"/>
  <c r="C32" i="12"/>
  <c r="B2" i="12"/>
  <c r="B3" i="12"/>
  <c r="C14" i="71"/>
  <c r="D15" i="71"/>
  <c r="C39" i="11"/>
  <c r="C42" i="11"/>
  <c r="L67" i="39"/>
  <c r="K69" i="39"/>
  <c r="W7" i="35"/>
  <c r="AC7" i="35"/>
  <c r="V38" i="35"/>
  <c r="I38" i="35"/>
  <c r="J65" i="40"/>
  <c r="K63" i="40"/>
  <c r="I52" i="21"/>
  <c r="J52" i="21"/>
  <c r="U7" i="35"/>
  <c r="AB7" i="35"/>
  <c r="T38" i="35"/>
  <c r="G38" i="35"/>
  <c r="R49" i="21"/>
  <c r="E48" i="21"/>
  <c r="G52" i="21"/>
  <c r="H52" i="21"/>
  <c r="G53" i="21"/>
  <c r="H53" i="21"/>
  <c r="F7" i="35"/>
  <c r="Q67" i="15"/>
  <c r="Q67" i="67"/>
  <c r="C45" i="67"/>
  <c r="C46" i="67"/>
  <c r="C71" i="67"/>
  <c r="Q56" i="15"/>
  <c r="Q65" i="15"/>
  <c r="C43" i="15"/>
  <c r="Q47" i="15"/>
  <c r="Q53" i="15"/>
  <c r="C83" i="15"/>
  <c r="C82" i="15"/>
  <c r="C43" i="67"/>
  <c r="D2" i="67"/>
  <c r="Q47" i="67"/>
  <c r="Q53" i="67"/>
  <c r="Q56" i="67"/>
  <c r="Q65" i="67"/>
  <c r="C83" i="67"/>
  <c r="C82" i="67"/>
  <c r="C49" i="69"/>
  <c r="C51" i="69"/>
  <c r="C52" i="69"/>
  <c r="B2" i="69"/>
  <c r="B3" i="69"/>
  <c r="C46" i="11"/>
  <c r="C45" i="11"/>
  <c r="C43" i="11"/>
  <c r="C41" i="11"/>
  <c r="C13" i="71"/>
  <c r="D14" i="71"/>
  <c r="L69" i="39"/>
  <c r="M6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C49" i="11"/>
  <c r="C51" i="11"/>
  <c r="C52" i="11"/>
  <c r="B2" i="11"/>
  <c r="B3" i="11"/>
  <c r="C12" i="71"/>
  <c r="T13" i="71"/>
  <c r="D13" i="71"/>
  <c r="U13" i="71"/>
  <c r="C57" i="69"/>
  <c r="C56" i="69"/>
  <c r="M69" i="39"/>
  <c r="N67" i="39"/>
  <c r="R39" i="35"/>
  <c r="E38" i="35"/>
  <c r="M63" i="40"/>
  <c r="L65" i="40"/>
  <c r="C57" i="68"/>
  <c r="C56" i="68"/>
  <c r="C11" i="71"/>
  <c r="D12" i="71"/>
  <c r="C56" i="11"/>
  <c r="C57" i="11"/>
  <c r="O67" i="39"/>
  <c r="O69" i="39"/>
  <c r="N69" i="39"/>
  <c r="F7" i="39"/>
  <c r="C39" i="35"/>
  <c r="B2" i="35"/>
  <c r="B3" i="35"/>
  <c r="C38" i="35"/>
  <c r="N63" i="40"/>
  <c r="M65" i="40"/>
  <c r="E43" i="35"/>
  <c r="F43" i="35"/>
  <c r="E42" i="35"/>
  <c r="F42" i="35"/>
  <c r="I43" i="35"/>
  <c r="J43" i="35"/>
  <c r="C10" i="71"/>
  <c r="D11" i="71"/>
  <c r="H7" i="39"/>
  <c r="J7" i="39"/>
  <c r="S7" i="39"/>
  <c r="AA7" i="39"/>
  <c r="R47" i="39"/>
  <c r="O63" i="40"/>
  <c r="O65" i="40"/>
  <c r="N65" i="40"/>
  <c r="C9" i="71"/>
  <c r="D10" i="71"/>
  <c r="W7" i="39"/>
  <c r="AC7" i="39"/>
  <c r="V47" i="39"/>
  <c r="I47" i="39"/>
  <c r="E47" i="39"/>
  <c r="R48" i="39"/>
  <c r="U7" i="39"/>
  <c r="AB7" i="39"/>
  <c r="T47" i="39"/>
  <c r="G47" i="39"/>
  <c r="J7" i="40"/>
  <c r="F7" i="40"/>
  <c r="H7" i="40"/>
  <c r="C8" i="71"/>
  <c r="T9" i="71"/>
  <c r="D9" i="71"/>
  <c r="U9" i="71"/>
  <c r="G51" i="39"/>
  <c r="H51" i="39"/>
  <c r="G52" i="39"/>
  <c r="H52" i="39"/>
  <c r="I51" i="39"/>
  <c r="J51" i="39"/>
  <c r="I52" i="39"/>
  <c r="J52" i="39"/>
  <c r="C48" i="39"/>
  <c r="C47" i="39"/>
  <c r="E52" i="39"/>
  <c r="F52" i="39"/>
  <c r="E51" i="39"/>
  <c r="F51" i="39"/>
  <c r="U7" i="40"/>
  <c r="AB7" i="40"/>
  <c r="T42" i="40"/>
  <c r="G42" i="40"/>
  <c r="AA7" i="40"/>
  <c r="R42" i="40"/>
  <c r="S7" i="40"/>
  <c r="AC7" i="40"/>
  <c r="V42" i="40"/>
  <c r="I42" i="40"/>
  <c r="W7" i="40"/>
  <c r="C7" i="71"/>
  <c r="D8"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6" i="71"/>
  <c r="D7" i="71"/>
  <c r="C42" i="40"/>
  <c r="C43" i="40"/>
  <c r="E47" i="40"/>
  <c r="F47" i="40"/>
  <c r="E46" i="40"/>
  <c r="F46" i="40"/>
  <c r="I47" i="40"/>
  <c r="J47" i="40"/>
  <c r="C5" i="71"/>
  <c r="D6" i="71"/>
  <c r="B58" i="40"/>
  <c r="F58" i="40"/>
  <c r="B54" i="40"/>
  <c r="F54" i="40"/>
  <c r="B53" i="40"/>
  <c r="F53" i="40"/>
  <c r="B59" i="40"/>
  <c r="F59" i="40"/>
  <c r="B52" i="40"/>
  <c r="F52" i="40"/>
  <c r="B56" i="40"/>
  <c r="F56" i="40"/>
  <c r="B60" i="40"/>
  <c r="F60" i="40"/>
  <c r="B57" i="40"/>
  <c r="F57" i="40"/>
  <c r="B51" i="40"/>
  <c r="F51" i="40"/>
  <c r="F61" i="40"/>
  <c r="B2" i="40"/>
  <c r="B3" i="40"/>
  <c r="D5" i="71"/>
  <c r="M20" i="43"/>
  <c r="B5" i="74"/>
  <c r="D5" i="74"/>
  <c r="C5" i="74"/>
  <c r="F14" i="74"/>
  <c r="E14" i="74"/>
  <c r="D53" i="9"/>
  <c r="D52" i="9"/>
  <c r="B30" i="72"/>
  <c r="D8" i="52"/>
  <c r="N58" i="9"/>
  <c r="P57" i="9"/>
  <c r="B47" i="72"/>
  <c r="D4" i="52"/>
  <c r="D54" i="9"/>
  <c r="C68" i="9"/>
  <c r="M55" i="9"/>
  <c r="C64" i="9"/>
  <c r="C63" i="9"/>
  <c r="C67" i="9"/>
  <c r="D59" i="9"/>
  <c r="B20" i="72"/>
  <c r="H5" i="52"/>
  <c r="H119" i="9"/>
  <c r="C81" i="9"/>
  <c r="C105" i="9"/>
  <c r="I4" i="52"/>
  <c r="B49" i="72"/>
  <c r="D5" i="52"/>
  <c r="D118" i="9"/>
  <c r="D119" i="9"/>
  <c r="M48" i="9"/>
  <c r="B31" i="72"/>
  <c r="D15" i="53"/>
  <c r="H108" i="9"/>
  <c r="E97" i="9"/>
  <c r="E96" i="9"/>
  <c r="C96" i="9"/>
  <c r="C6" i="74"/>
  <c r="G14" i="74"/>
  <c r="B6" i="74"/>
  <c r="D6" i="74"/>
  <c r="C104" i="9"/>
  <c r="H4" i="52"/>
  <c r="B53" i="72"/>
  <c r="F5" i="52"/>
  <c r="F119" i="9"/>
  <c r="C78" i="9"/>
  <c r="C73" i="9"/>
  <c r="C93" i="9"/>
  <c r="C86" i="9"/>
  <c r="D13" i="53"/>
  <c r="D14" i="53"/>
  <c r="B32" i="72"/>
  <c r="E118" i="9"/>
  <c r="E4" i="52"/>
  <c r="B48" i="72"/>
  <c r="H107" i="9"/>
  <c r="D122" i="9"/>
  <c r="D123" i="9"/>
  <c r="D9" i="52"/>
  <c r="C85" i="9"/>
  <c r="C95" i="9"/>
  <c r="C97" i="9"/>
  <c r="D58" i="9"/>
  <c r="D56" i="9"/>
  <c r="M54" i="9"/>
  <c r="N61" i="9"/>
  <c r="D55" i="9"/>
  <c r="M53" i="9"/>
  <c r="N57" i="9"/>
  <c r="N59" i="9"/>
  <c r="N60" i="9"/>
  <c r="D5" i="53"/>
  <c r="D6" i="53"/>
  <c r="B22" i="72"/>
  <c r="E81" i="9"/>
  <c r="E80" i="9"/>
  <c r="H101" i="9"/>
  <c r="D45" i="9"/>
  <c r="C72" i="9"/>
  <c r="C79" i="9"/>
  <c r="C80" i="9"/>
  <c r="G4" i="52"/>
  <c r="B52" i="72"/>
  <c r="H118" i="9"/>
  <c r="I118" i="9"/>
  <c r="H102" i="9"/>
  <c r="D7" i="53"/>
  <c r="B21" i="72"/>
  <c r="G118" i="9"/>
  <c r="F118" i="9"/>
  <c r="F4" i="52"/>
  <c r="B5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郭蕾</author>
    <author>微软用户</author>
  </authors>
  <commentList>
    <comment ref="C5" authorId="0">
      <text>
        <r>
          <rPr>
            <b/>
            <sz val="9"/>
            <rFont val="宋体"/>
            <family val="3"/>
            <charset val="134"/>
          </rPr>
          <t>郭蕾</t>
        </r>
        <r>
          <rPr>
            <b/>
            <sz val="9"/>
            <rFont val="Tahoma"/>
            <family val="2"/>
          </rPr>
          <t>:</t>
        </r>
        <r>
          <rPr>
            <sz val="9"/>
            <rFont val="Tahoma"/>
            <family val="2"/>
          </rPr>
          <t xml:space="preserve">
2#</t>
        </r>
        <r>
          <rPr>
            <sz val="9"/>
            <rFont val="宋体"/>
            <family val="3"/>
            <charset val="134"/>
          </rPr>
          <t>楼二层</t>
        </r>
        <r>
          <rPr>
            <sz val="9"/>
            <rFont val="Tahoma"/>
            <family val="2"/>
          </rPr>
          <t>5</t>
        </r>
        <r>
          <rPr>
            <sz val="9"/>
            <rFont val="宋体"/>
            <family val="3"/>
            <charset val="134"/>
          </rPr>
          <t>号，一层</t>
        </r>
        <r>
          <rPr>
            <sz val="9"/>
            <rFont val="Tahoma"/>
            <family val="2"/>
          </rPr>
          <t>3</t>
        </r>
        <r>
          <rPr>
            <sz val="9"/>
            <rFont val="宋体"/>
            <family val="3"/>
            <charset val="134"/>
          </rPr>
          <t>号</t>
        </r>
      </text>
    </comment>
    <comment ref="C6" authorId="0">
      <text>
        <r>
          <rPr>
            <b/>
            <sz val="9"/>
            <rFont val="宋体"/>
            <family val="3"/>
            <charset val="134"/>
          </rPr>
          <t>郭蕾</t>
        </r>
        <r>
          <rPr>
            <b/>
            <sz val="9"/>
            <rFont val="Tahoma"/>
            <family val="2"/>
          </rPr>
          <t>:</t>
        </r>
        <r>
          <rPr>
            <sz val="9"/>
            <rFont val="Tahoma"/>
            <family val="2"/>
          </rPr>
          <t xml:space="preserve">
2#</t>
        </r>
        <r>
          <rPr>
            <sz val="9"/>
            <rFont val="宋体"/>
            <family val="3"/>
            <charset val="134"/>
          </rPr>
          <t>楼一层</t>
        </r>
        <r>
          <rPr>
            <sz val="9"/>
            <rFont val="Tahoma"/>
            <family val="2"/>
          </rPr>
          <t>5#</t>
        </r>
      </text>
    </comment>
    <comment ref="D38" authorId="0">
      <text>
        <r>
          <rPr>
            <b/>
            <sz val="9"/>
            <rFont val="宋体"/>
            <family val="3"/>
            <charset val="134"/>
          </rPr>
          <t>郭蕾</t>
        </r>
        <r>
          <rPr>
            <b/>
            <sz val="9"/>
            <rFont val="Tahoma"/>
            <family val="2"/>
          </rPr>
          <t>:</t>
        </r>
        <r>
          <rPr>
            <sz val="9"/>
            <rFont val="Tahoma"/>
            <family val="2"/>
          </rPr>
          <t xml:space="preserve">
53.08</t>
        </r>
      </text>
    </comment>
    <comment ref="H38" authorId="0">
      <text>
        <r>
          <rPr>
            <b/>
            <sz val="9"/>
            <rFont val="宋体"/>
            <family val="3"/>
            <charset val="134"/>
          </rPr>
          <t>郭蕾</t>
        </r>
        <r>
          <rPr>
            <b/>
            <sz val="9"/>
            <rFont val="Tahoma"/>
            <family val="2"/>
          </rPr>
          <t>:</t>
        </r>
        <r>
          <rPr>
            <sz val="9"/>
            <rFont val="Tahoma"/>
            <family val="2"/>
          </rPr>
          <t xml:space="preserve">
40.34</t>
        </r>
      </text>
    </comment>
    <comment ref="D39" authorId="0">
      <text>
        <r>
          <rPr>
            <b/>
            <sz val="9"/>
            <rFont val="宋体"/>
            <family val="3"/>
            <charset val="134"/>
          </rPr>
          <t>郭蕾</t>
        </r>
        <r>
          <rPr>
            <b/>
            <sz val="9"/>
            <rFont val="Tahoma"/>
            <family val="2"/>
          </rPr>
          <t>:</t>
        </r>
        <r>
          <rPr>
            <sz val="9"/>
            <rFont val="Tahoma"/>
            <family val="2"/>
          </rPr>
          <t xml:space="preserve">
21.84</t>
        </r>
      </text>
    </comment>
    <comment ref="H39" authorId="0">
      <text>
        <r>
          <rPr>
            <b/>
            <sz val="9"/>
            <rFont val="宋体"/>
            <family val="3"/>
            <charset val="134"/>
          </rPr>
          <t>郭蕾</t>
        </r>
        <r>
          <rPr>
            <b/>
            <sz val="9"/>
            <rFont val="Tahoma"/>
            <family val="2"/>
          </rPr>
          <t>:</t>
        </r>
        <r>
          <rPr>
            <sz val="9"/>
            <rFont val="Tahoma"/>
            <family val="2"/>
          </rPr>
          <t xml:space="preserve">
16.6</t>
        </r>
      </text>
    </comment>
    <comment ref="D42" authorId="0">
      <text>
        <r>
          <rPr>
            <b/>
            <sz val="9"/>
            <rFont val="宋体"/>
            <family val="3"/>
            <charset val="134"/>
          </rPr>
          <t>郭蕾</t>
        </r>
        <r>
          <rPr>
            <b/>
            <sz val="9"/>
            <rFont val="Tahoma"/>
            <family val="2"/>
          </rPr>
          <t>:</t>
        </r>
        <r>
          <rPr>
            <sz val="9"/>
            <rFont val="Tahoma"/>
            <family val="2"/>
          </rPr>
          <t xml:space="preserve">
96.07</t>
        </r>
      </text>
    </comment>
    <comment ref="H42" authorId="0">
      <text>
        <r>
          <rPr>
            <b/>
            <sz val="9"/>
            <rFont val="宋体"/>
            <family val="3"/>
            <charset val="134"/>
          </rPr>
          <t>郭蕾</t>
        </r>
        <r>
          <rPr>
            <b/>
            <sz val="9"/>
            <rFont val="Tahoma"/>
            <family val="2"/>
          </rPr>
          <t>:</t>
        </r>
        <r>
          <rPr>
            <sz val="9"/>
            <rFont val="Tahoma"/>
            <family val="2"/>
          </rPr>
          <t xml:space="preserve">
73.01</t>
        </r>
      </text>
    </comment>
    <comment ref="D46" authorId="0">
      <text>
        <r>
          <rPr>
            <b/>
            <sz val="9"/>
            <rFont val="宋体"/>
            <family val="3"/>
            <charset val="134"/>
          </rPr>
          <t>郭蕾</t>
        </r>
        <r>
          <rPr>
            <b/>
            <sz val="9"/>
            <rFont val="Tahoma"/>
            <family val="2"/>
          </rPr>
          <t>:</t>
        </r>
        <r>
          <rPr>
            <sz val="9"/>
            <rFont val="Tahoma"/>
            <family val="2"/>
          </rPr>
          <t xml:space="preserve">
115.04</t>
        </r>
      </text>
    </comment>
    <comment ref="H46" authorId="0">
      <text>
        <r>
          <rPr>
            <b/>
            <sz val="9"/>
            <rFont val="宋体"/>
            <family val="3"/>
            <charset val="134"/>
          </rPr>
          <t>郭蕾</t>
        </r>
        <r>
          <rPr>
            <b/>
            <sz val="9"/>
            <rFont val="Tahoma"/>
            <family val="2"/>
          </rPr>
          <t>:</t>
        </r>
        <r>
          <rPr>
            <sz val="9"/>
            <rFont val="Tahoma"/>
            <family val="2"/>
          </rPr>
          <t xml:space="preserve">
87.43</t>
        </r>
      </text>
    </comment>
    <comment ref="D47" authorId="1">
      <text>
        <r>
          <rPr>
            <b/>
            <sz val="9"/>
            <rFont val="宋体"/>
            <family val="3"/>
            <charset val="134"/>
          </rPr>
          <t>微软用户</t>
        </r>
        <r>
          <rPr>
            <b/>
            <sz val="9"/>
            <rFont val="Tahoma"/>
            <family val="2"/>
          </rPr>
          <t>:</t>
        </r>
        <r>
          <rPr>
            <sz val="9"/>
            <rFont val="Tahoma"/>
            <family val="2"/>
          </rPr>
          <t xml:space="preserve">
143</t>
        </r>
      </text>
    </comment>
    <comment ref="H47" authorId="1">
      <text>
        <r>
          <rPr>
            <b/>
            <sz val="9"/>
            <rFont val="宋体"/>
            <family val="3"/>
            <charset val="134"/>
          </rPr>
          <t>微软用户</t>
        </r>
        <r>
          <rPr>
            <b/>
            <sz val="9"/>
            <rFont val="Tahoma"/>
            <family val="2"/>
          </rPr>
          <t>:</t>
        </r>
        <r>
          <rPr>
            <sz val="9"/>
            <rFont val="Tahoma"/>
            <family val="2"/>
          </rPr>
          <t xml:space="preserve">
109</t>
        </r>
      </text>
    </comment>
    <comment ref="D48" authorId="0">
      <text>
        <r>
          <rPr>
            <b/>
            <sz val="9"/>
            <rFont val="宋体"/>
            <family val="3"/>
            <charset val="134"/>
          </rPr>
          <t>郭蕾</t>
        </r>
        <r>
          <rPr>
            <b/>
            <sz val="9"/>
            <rFont val="Tahoma"/>
            <family val="2"/>
          </rPr>
          <t>:</t>
        </r>
        <r>
          <rPr>
            <sz val="9"/>
            <rFont val="Tahoma"/>
            <family val="2"/>
          </rPr>
          <t xml:space="preserve">
129.63</t>
        </r>
      </text>
    </comment>
    <comment ref="H48" authorId="0">
      <text>
        <r>
          <rPr>
            <b/>
            <sz val="9"/>
            <rFont val="宋体"/>
            <family val="3"/>
            <charset val="134"/>
          </rPr>
          <t>郭蕾</t>
        </r>
        <r>
          <rPr>
            <b/>
            <sz val="9"/>
            <rFont val="Tahoma"/>
            <family val="2"/>
          </rPr>
          <t>:</t>
        </r>
        <r>
          <rPr>
            <sz val="9"/>
            <rFont val="Tahoma"/>
            <family val="2"/>
          </rPr>
          <t xml:space="preserve">
98.52</t>
        </r>
      </text>
    </comment>
    <comment ref="D51" authorId="0">
      <text>
        <r>
          <rPr>
            <b/>
            <sz val="9"/>
            <rFont val="宋体"/>
            <family val="3"/>
            <charset val="134"/>
          </rPr>
          <t>郭蕾</t>
        </r>
        <r>
          <rPr>
            <b/>
            <sz val="9"/>
            <rFont val="Tahoma"/>
            <family val="2"/>
          </rPr>
          <t>:</t>
        </r>
        <r>
          <rPr>
            <sz val="9"/>
            <rFont val="Tahoma"/>
            <family val="2"/>
          </rPr>
          <t xml:space="preserve">
54.75</t>
        </r>
      </text>
    </comment>
    <comment ref="H51" authorId="0">
      <text>
        <r>
          <rPr>
            <b/>
            <sz val="9"/>
            <rFont val="宋体"/>
            <family val="3"/>
            <charset val="134"/>
          </rPr>
          <t>郭蕾</t>
        </r>
        <r>
          <rPr>
            <b/>
            <sz val="9"/>
            <rFont val="Tahoma"/>
            <family val="2"/>
          </rPr>
          <t>:</t>
        </r>
        <r>
          <rPr>
            <sz val="9"/>
            <rFont val="Tahoma"/>
            <family val="2"/>
          </rPr>
          <t xml:space="preserve">
41.61</t>
        </r>
      </text>
    </comment>
    <comment ref="D53" authorId="0">
      <text>
        <r>
          <rPr>
            <b/>
            <sz val="9"/>
            <rFont val="宋体"/>
            <family val="3"/>
            <charset val="134"/>
          </rPr>
          <t>郭蕾</t>
        </r>
        <r>
          <rPr>
            <b/>
            <sz val="9"/>
            <rFont val="Tahoma"/>
            <family val="2"/>
          </rPr>
          <t>:</t>
        </r>
        <r>
          <rPr>
            <sz val="9"/>
            <rFont val="Tahoma"/>
            <family val="2"/>
          </rPr>
          <t xml:space="preserve">
30.76</t>
        </r>
      </text>
    </comment>
    <comment ref="H53" authorId="0">
      <text>
        <r>
          <rPr>
            <b/>
            <sz val="9"/>
            <rFont val="宋体"/>
            <family val="3"/>
            <charset val="134"/>
          </rPr>
          <t>郭蕾</t>
        </r>
        <r>
          <rPr>
            <b/>
            <sz val="9"/>
            <rFont val="Tahoma"/>
            <family val="2"/>
          </rPr>
          <t>:</t>
        </r>
        <r>
          <rPr>
            <sz val="9"/>
            <rFont val="Tahoma"/>
            <family val="2"/>
          </rPr>
          <t xml:space="preserve">
23.38</t>
        </r>
      </text>
    </comment>
    <comment ref="D64" authorId="0">
      <text>
        <r>
          <rPr>
            <b/>
            <sz val="9"/>
            <rFont val="宋体"/>
            <family val="3"/>
            <charset val="134"/>
          </rPr>
          <t>郭蕾</t>
        </r>
        <r>
          <rPr>
            <b/>
            <sz val="9"/>
            <rFont val="Tahoma"/>
            <family val="2"/>
          </rPr>
          <t>:</t>
        </r>
        <r>
          <rPr>
            <sz val="9"/>
            <rFont val="Tahoma"/>
            <family val="2"/>
          </rPr>
          <t xml:space="preserve">
161.84</t>
        </r>
      </text>
    </comment>
    <comment ref="H64" authorId="0">
      <text>
        <r>
          <rPr>
            <b/>
            <sz val="9"/>
            <rFont val="宋体"/>
            <family val="3"/>
            <charset val="134"/>
          </rPr>
          <t>郭蕾</t>
        </r>
        <r>
          <rPr>
            <b/>
            <sz val="9"/>
            <rFont val="Tahoma"/>
            <family val="2"/>
          </rPr>
          <t>:</t>
        </r>
        <r>
          <rPr>
            <sz val="9"/>
            <rFont val="Tahoma"/>
            <family val="2"/>
          </rPr>
          <t xml:space="preserve">
123</t>
        </r>
      </text>
    </comment>
    <comment ref="D65" authorId="0">
      <text>
        <r>
          <rPr>
            <b/>
            <sz val="9"/>
            <rFont val="宋体"/>
            <family val="3"/>
            <charset val="134"/>
          </rPr>
          <t>郭蕾</t>
        </r>
        <r>
          <rPr>
            <b/>
            <sz val="9"/>
            <rFont val="Tahoma"/>
            <family val="2"/>
          </rPr>
          <t>:</t>
        </r>
        <r>
          <rPr>
            <sz val="9"/>
            <rFont val="Tahoma"/>
            <family val="2"/>
          </rPr>
          <t xml:space="preserve">
86.84</t>
        </r>
      </text>
    </comment>
    <comment ref="H65" authorId="0">
      <text>
        <r>
          <rPr>
            <b/>
            <sz val="9"/>
            <rFont val="宋体"/>
            <family val="3"/>
            <charset val="134"/>
          </rPr>
          <t>郭蕾</t>
        </r>
        <r>
          <rPr>
            <b/>
            <sz val="9"/>
            <rFont val="Tahoma"/>
            <family val="2"/>
          </rPr>
          <t>:</t>
        </r>
        <r>
          <rPr>
            <sz val="9"/>
            <rFont val="Tahoma"/>
            <family val="2"/>
          </rPr>
          <t xml:space="preserve">
66</t>
        </r>
      </text>
    </comment>
    <comment ref="D68" authorId="1">
      <text>
        <r>
          <rPr>
            <b/>
            <sz val="9"/>
            <rFont val="宋体"/>
            <family val="3"/>
            <charset val="134"/>
          </rPr>
          <t>微软用户</t>
        </r>
        <r>
          <rPr>
            <b/>
            <sz val="9"/>
            <rFont val="Tahoma"/>
            <family val="2"/>
          </rPr>
          <t>:</t>
        </r>
        <r>
          <rPr>
            <sz val="9"/>
            <rFont val="Tahoma"/>
            <family val="2"/>
          </rPr>
          <t xml:space="preserve">
135.53</t>
        </r>
      </text>
    </comment>
    <comment ref="H68" authorId="1">
      <text>
        <r>
          <rPr>
            <b/>
            <sz val="9"/>
            <rFont val="宋体"/>
            <family val="3"/>
            <charset val="134"/>
          </rPr>
          <t>微软用户</t>
        </r>
        <r>
          <rPr>
            <b/>
            <sz val="9"/>
            <rFont val="Tahoma"/>
            <family val="2"/>
          </rPr>
          <t>:</t>
        </r>
        <r>
          <rPr>
            <sz val="9"/>
            <rFont val="Tahoma"/>
            <family val="2"/>
          </rPr>
          <t xml:space="preserve">
103</t>
        </r>
      </text>
    </comment>
    <comment ref="D75" authorId="0">
      <text>
        <r>
          <rPr>
            <b/>
            <sz val="9"/>
            <rFont val="宋体"/>
            <family val="3"/>
            <charset val="134"/>
          </rPr>
          <t>郭蕾</t>
        </r>
        <r>
          <rPr>
            <b/>
            <sz val="9"/>
            <rFont val="Tahoma"/>
            <family val="2"/>
          </rPr>
          <t>:</t>
        </r>
        <r>
          <rPr>
            <sz val="9"/>
            <rFont val="Tahoma"/>
            <family val="2"/>
          </rPr>
          <t xml:space="preserve">
196.66</t>
        </r>
      </text>
    </comment>
    <comment ref="D76" authorId="0">
      <text>
        <r>
          <rPr>
            <b/>
            <sz val="9"/>
            <rFont val="宋体"/>
            <family val="3"/>
            <charset val="134"/>
          </rPr>
          <t>郭蕾</t>
        </r>
        <r>
          <rPr>
            <b/>
            <sz val="9"/>
            <rFont val="Tahoma"/>
            <family val="2"/>
          </rPr>
          <t>:</t>
        </r>
        <r>
          <rPr>
            <sz val="9"/>
            <rFont val="Tahoma"/>
            <family val="2"/>
          </rPr>
          <t xml:space="preserve">
193.27</t>
        </r>
      </text>
    </comment>
    <comment ref="D80" authorId="0">
      <text>
        <r>
          <rPr>
            <b/>
            <sz val="9"/>
            <rFont val="宋体"/>
            <family val="3"/>
            <charset val="134"/>
          </rPr>
          <t>郭蕾</t>
        </r>
        <r>
          <rPr>
            <b/>
            <sz val="9"/>
            <rFont val="Tahoma"/>
            <family val="2"/>
          </rPr>
          <t>:</t>
        </r>
        <r>
          <rPr>
            <sz val="9"/>
            <rFont val="Tahoma"/>
            <family val="2"/>
          </rPr>
          <t xml:space="preserve">
146.81
</t>
        </r>
      </text>
    </comment>
    <comment ref="D85" authorId="0">
      <text>
        <r>
          <rPr>
            <b/>
            <sz val="9"/>
            <rFont val="宋体"/>
            <family val="3"/>
            <charset val="134"/>
          </rPr>
          <t>郭蕾</t>
        </r>
        <r>
          <rPr>
            <b/>
            <sz val="9"/>
            <rFont val="Tahoma"/>
            <family val="2"/>
          </rPr>
          <t>:</t>
        </r>
        <r>
          <rPr>
            <sz val="9"/>
            <rFont val="Tahoma"/>
            <family val="2"/>
          </rPr>
          <t xml:space="preserve">
267.11</t>
        </r>
      </text>
    </comment>
    <comment ref="H85" authorId="0">
      <text>
        <r>
          <rPr>
            <b/>
            <sz val="9"/>
            <rFont val="宋体"/>
            <family val="3"/>
            <charset val="134"/>
          </rPr>
          <t>郭蕾</t>
        </r>
        <r>
          <rPr>
            <b/>
            <sz val="9"/>
            <rFont val="Tahoma"/>
            <family val="2"/>
          </rPr>
          <t>:</t>
        </r>
        <r>
          <rPr>
            <sz val="9"/>
            <rFont val="Tahoma"/>
            <family val="2"/>
          </rPr>
          <t xml:space="preserve">
203</t>
        </r>
      </text>
    </comment>
    <comment ref="D86" authorId="0">
      <text>
        <r>
          <rPr>
            <b/>
            <sz val="9"/>
            <rFont val="宋体"/>
            <family val="3"/>
            <charset val="134"/>
          </rPr>
          <t>郭蕾</t>
        </r>
        <r>
          <rPr>
            <b/>
            <sz val="9"/>
            <rFont val="Tahoma"/>
            <family val="2"/>
          </rPr>
          <t>:</t>
        </r>
        <r>
          <rPr>
            <sz val="9"/>
            <rFont val="Tahoma"/>
            <family val="2"/>
          </rPr>
          <t xml:space="preserve">
73.55</t>
        </r>
      </text>
    </comment>
    <comment ref="H86" authorId="0">
      <text>
        <r>
          <rPr>
            <b/>
            <sz val="9"/>
            <rFont val="宋体"/>
            <family val="3"/>
            <charset val="134"/>
          </rPr>
          <t>郭蕾</t>
        </r>
        <r>
          <rPr>
            <b/>
            <sz val="9"/>
            <rFont val="Tahoma"/>
            <family val="2"/>
          </rPr>
          <t>:</t>
        </r>
        <r>
          <rPr>
            <sz val="9"/>
            <rFont val="Tahoma"/>
            <family val="2"/>
          </rPr>
          <t xml:space="preserve">
55.9</t>
        </r>
      </text>
    </comment>
    <comment ref="D87" authorId="0">
      <text>
        <r>
          <rPr>
            <b/>
            <sz val="9"/>
            <rFont val="宋体"/>
            <family val="3"/>
            <charset val="134"/>
          </rPr>
          <t>郭蕾</t>
        </r>
        <r>
          <rPr>
            <b/>
            <sz val="9"/>
            <rFont val="Tahoma"/>
            <family val="2"/>
          </rPr>
          <t>:</t>
        </r>
        <r>
          <rPr>
            <sz val="9"/>
            <rFont val="Tahoma"/>
            <family val="2"/>
          </rPr>
          <t xml:space="preserve">
76.05</t>
        </r>
      </text>
    </comment>
    <comment ref="H87" authorId="0">
      <text>
        <r>
          <rPr>
            <b/>
            <sz val="9"/>
            <rFont val="宋体"/>
            <family val="3"/>
            <charset val="134"/>
          </rPr>
          <t>郭蕾</t>
        </r>
        <r>
          <rPr>
            <b/>
            <sz val="9"/>
            <rFont val="Tahoma"/>
            <family val="2"/>
          </rPr>
          <t>:</t>
        </r>
        <r>
          <rPr>
            <sz val="9"/>
            <rFont val="Tahoma"/>
            <family val="2"/>
          </rPr>
          <t xml:space="preserve">
57.80</t>
        </r>
      </text>
    </comment>
    <comment ref="D88" authorId="0">
      <text>
        <r>
          <rPr>
            <b/>
            <sz val="9"/>
            <rFont val="宋体"/>
            <family val="3"/>
            <charset val="134"/>
          </rPr>
          <t>郭蕾</t>
        </r>
        <r>
          <rPr>
            <b/>
            <sz val="9"/>
            <rFont val="Tahoma"/>
            <family val="2"/>
          </rPr>
          <t>:</t>
        </r>
        <r>
          <rPr>
            <sz val="9"/>
            <rFont val="Tahoma"/>
            <family val="2"/>
          </rPr>
          <t xml:space="preserve">
78.03</t>
        </r>
      </text>
    </comment>
    <comment ref="H88" authorId="0">
      <text>
        <r>
          <rPr>
            <b/>
            <sz val="9"/>
            <rFont val="宋体"/>
            <family val="3"/>
            <charset val="134"/>
          </rPr>
          <t>郭蕾</t>
        </r>
        <r>
          <rPr>
            <b/>
            <sz val="9"/>
            <rFont val="Tahoma"/>
            <family val="2"/>
          </rPr>
          <t>:</t>
        </r>
        <r>
          <rPr>
            <sz val="9"/>
            <rFont val="Tahoma"/>
            <family val="2"/>
          </rPr>
          <t xml:space="preserve">
59.30</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authors>
    <author>诗霖</author>
  </authors>
  <commentList>
    <comment ref="F16" authorId="0">
      <text>
        <r>
          <rPr>
            <b/>
            <sz val="11"/>
            <color indexed="81"/>
            <rFont val="ＭＳ Ｐゴシック"/>
            <family val="2"/>
            <charset val="128"/>
          </rPr>
          <t>诗霖:部分改为楼梯</t>
        </r>
      </text>
    </comment>
    <comment ref="H48" authorId="0">
      <text>
        <r>
          <rPr>
            <b/>
            <sz val="11"/>
            <color indexed="81"/>
            <rFont val="ＭＳ Ｐゴシック"/>
            <family val="2"/>
            <charset val="128"/>
          </rPr>
          <t>诗霖:最长租期</t>
        </r>
      </text>
    </comment>
    <comment ref="L69" authorId="0">
      <text>
        <r>
          <rPr>
            <b/>
            <sz val="11"/>
            <color indexed="81"/>
            <rFont val="ＭＳ Ｐゴシック"/>
            <family val="2"/>
            <charset val="128"/>
          </rPr>
          <t>诗霖:</t>
        </r>
        <r>
          <rPr>
            <sz val="11"/>
            <color indexed="81"/>
            <rFont val="ＭＳ Ｐゴシック"/>
            <family val="2"/>
            <charset val="128"/>
          </rPr>
          <t xml:space="preserve">
主要为2层</t>
        </r>
      </text>
    </comment>
    <comment ref="J81" authorId="0">
      <text>
        <r>
          <rPr>
            <b/>
            <sz val="11"/>
            <color indexed="81"/>
            <rFont val="ＭＳ Ｐゴシック"/>
            <family val="2"/>
            <charset val="128"/>
          </rPr>
          <t>诗霖:</t>
        </r>
        <r>
          <rPr>
            <sz val="11"/>
            <color indexed="81"/>
            <rFont val="ＭＳ Ｐゴシック"/>
            <family val="2"/>
            <charset val="128"/>
          </rPr>
          <t xml:space="preserve">
主要为2层办公使用</t>
        </r>
      </text>
    </comment>
    <comment ref="J82" authorId="0">
      <text>
        <r>
          <rPr>
            <b/>
            <sz val="11"/>
            <color indexed="81"/>
            <rFont val="ＭＳ Ｐゴシック"/>
            <family val="2"/>
            <charset val="128"/>
          </rPr>
          <t>诗霖:</t>
        </r>
        <r>
          <rPr>
            <sz val="11"/>
            <color indexed="81"/>
            <rFont val="ＭＳ Ｐゴシック"/>
            <family val="2"/>
            <charset val="128"/>
          </rPr>
          <t xml:space="preserve">
1-2层面积基本对应</t>
        </r>
      </text>
    </comment>
  </commentList>
</comments>
</file>

<file path=xl/comments4.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<sst xmlns="http://schemas.openxmlformats.org/spreadsheetml/2006/main" count="21244" uniqueCount="4804">
  <si>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</si>
  <si>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</si>
  <si>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</si>
  <si>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</si>
  <si>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</si>
  <si>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</si>
  <si>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</si>
  <si>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</si>
  <si>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</si>
  <si>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</si>
  <si>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</si>
  <si>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</si>
  <si>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</si>
  <si>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</si>
  <si>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</si>
  <si>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</si>
  <si>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</si>
  <si>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</si>
  <si>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</si>
  <si>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</si>
  <si>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</si>
  <si>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</si>
  <si>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</si>
  <si>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</si>
  <si>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</si>
  <si>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</si>
  <si>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</si>
  <si>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</si>
  <si>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</si>
  <si>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</si>
  <si>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</si>
  <si>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</si>
  <si>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</si>
  <si>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</si>
  <si>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</si>
  <si>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</si>
  <si>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</si>
  <si>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</si>
  <si>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</si>
  <si>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</si>
  <si>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</si>
  <si>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</si>
  <si>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</si>
  <si>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</si>
  <si>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</si>
  <si>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</si>
  <si>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</si>
  <si>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</si>
  <si>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</si>
  <si>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</si>
  <si>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</si>
  <si>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</si>
  <si>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</si>
  <si>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</si>
  <si>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</si>
  <si>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</si>
  <si>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</si>
  <si>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</si>
  <si>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</si>
  <si>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</si>
  <si>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</si>
  <si>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</si>
  <si>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</si>
  <si>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</si>
  <si>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</si>
  <si>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</si>
  <si>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</si>
  <si>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</si>
  <si>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</si>
  <si>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</si>
  <si>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</si>
  <si>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</si>
  <si>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</si>
  <si>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</si>
  <si>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</si>
  <si>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</si>
  <si>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</si>
  <si>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</si>
  <si>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</si>
  <si>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</si>
  <si>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</si>
  <si>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</si>
  <si>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</si>
  <si>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</si>
  <si>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</si>
  <si>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</si>
  <si>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</si>
  <si>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</si>
  <si>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</si>
  <si>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</si>
  <si>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</si>
  <si>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</si>
  <si>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</si>
  <si>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</si>
  <si>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</si>
  <si>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</si>
  <si>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</si>
  <si>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</si>
  <si>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</si>
  <si>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</si>
  <si>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</si>
  <si>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</si>
  <si>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</si>
  <si>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</si>
  <si>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</si>
  <si>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</si>
  <si>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</si>
  <si>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</si>
  <si>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</si>
  <si>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</si>
  <si>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</si>
  <si>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</si>
  <si>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</si>
  <si>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</si>
  <si>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</si>
  <si>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</si>
  <si>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</si>
  <si>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</si>
  <si>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</si>
  <si>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</si>
  <si>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</si>
  <si>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</si>
  <si>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</si>
  <si>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</si>
  <si>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</si>
  <si>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</si>
  <si>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</si>
  <si>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</si>
  <si>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</si>
  <si>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</si>
  <si>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</si>
  <si>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</si>
  <si>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</si>
  <si>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</si>
  <si>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</si>
  <si>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</si>
  <si>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</si>
  <si>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</si>
  <si>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</si>
  <si>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</si>
  <si>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</si>
  <si>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</si>
  <si>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</si>
  <si>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</si>
  <si>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</si>
  <si>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</si>
  <si>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</si>
  <si>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</si>
  <si>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</si>
  <si>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</si>
  <si>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</si>
  <si>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</si>
  <si>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</si>
  <si>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</si>
  <si>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</si>
  <si>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</si>
  <si>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</si>
  <si>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</si>
  <si>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</si>
  <si>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</si>
  <si>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</si>
  <si>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</si>
  <si>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</si>
  <si>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</si>
  <si>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</si>
  <si>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</si>
  <si>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</si>
  <si>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</si>
  <si>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</si>
  <si>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</si>
  <si>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</si>
  <si>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</si>
  <si>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</si>
  <si>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</si>
  <si>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</si>
  <si>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</si>
  <si>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</si>
  <si>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</si>
  <si>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</si>
  <si>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</si>
  <si>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</si>
  <si>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</si>
  <si>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</si>
  <si>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</si>
  <si>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</si>
  <si>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</si>
  <si>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</si>
  <si>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</si>
  <si>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</si>
  <si>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</si>
  <si>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</si>
  <si>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</si>
  <si>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</si>
  <si>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</si>
  <si>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</si>
  <si>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</si>
  <si>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</si>
  <si>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</si>
  <si>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</si>
  <si>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</si>
  <si>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</si>
  <si>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</si>
  <si>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</si>
  <si>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</si>
  <si>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</si>
  <si>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</si>
  <si>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</si>
  <si>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</si>
  <si>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</si>
  <si>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</si>
  <si>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</si>
  <si>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</si>
  <si>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</si>
  <si>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</si>
  <si>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</si>
  <si>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</si>
  <si>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</si>
  <si>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</si>
  <si>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</si>
  <si>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</si>
  <si>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</si>
  <si>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</si>
  <si>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</si>
  <si>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</si>
  <si>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</si>
  <si>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</si>
  <si>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</si>
  <si>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</si>
  <si>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</si>
  <si>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</si>
  <si>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</si>
  <si>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</si>
  <si>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</si>
  <si>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</si>
  <si>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</si>
  <si>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</si>
  <si>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</si>
  <si>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</si>
  <si>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</si>
  <si>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</si>
  <si>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</si>
  <si>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</si>
  <si>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</si>
  <si>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</si>
  <si>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</si>
  <si>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</si>
  <si>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</si>
  <si>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</si>
  <si>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</si>
  <si>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</si>
  <si>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</si>
  <si>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</si>
  <si>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</si>
  <si>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</si>
  <si>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</si>
  <si>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</si>
  <si>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</si>
  <si>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</si>
  <si>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</si>
  <si>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</si>
  <si>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</si>
  <si>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</si>
  <si>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</si>
  <si>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</si>
  <si>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</si>
  <si>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</si>
  <si>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</si>
  <si>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</si>
  <si>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</si>
  <si>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</si>
  <si>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</si>
  <si>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</si>
  <si>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</si>
  <si>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</si>
  <si>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</si>
  <si>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</si>
  <si>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</si>
  <si>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</si>
  <si>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</si>
  <si>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</si>
  <si>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</si>
  <si>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</si>
  <si>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</si>
  <si>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</si>
  <si>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</si>
  <si>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</si>
  <si>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</si>
  <si>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</si>
  <si>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</si>
  <si>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</si>
  <si>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</si>
  <si>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</si>
  <si>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</si>
  <si>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</si>
  <si>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</si>
  <si>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</si>
  <si>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</si>
  <si>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</si>
  <si>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</si>
  <si>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</si>
  <si>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</si>
  <si>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</si>
  <si>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</si>
  <si>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</si>
  <si>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</si>
  <si>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</si>
  <si>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</si>
  <si>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</si>
  <si>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</si>
  <si>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</si>
  <si>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</si>
  <si>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</si>
  <si>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</si>
  <si>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</si>
  <si>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</si>
  <si>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</si>
  <si>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</si>
  <si>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</si>
  <si>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</si>
  <si>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</si>
  <si>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</si>
  <si>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</si>
  <si>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</si>
  <si>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</si>
  <si>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</si>
  <si>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</si>
  <si>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</si>
  <si>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</si>
  <si>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</si>
  <si>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</si>
  <si>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</si>
  <si>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</si>
  <si>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</si>
  <si>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</si>
  <si>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</si>
  <si>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</si>
  <si>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</si>
  <si>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</si>
  <si>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</si>
  <si>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</si>
  <si>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</si>
  <si>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</si>
  <si>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</si>
  <si>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</si>
  <si>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</si>
  <si>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</si>
  <si>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</si>
  <si>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</si>
  <si>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</si>
  <si>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</si>
  <si>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</si>
  <si>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</si>
  <si>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</si>
  <si>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</si>
  <si>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</si>
  <si>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</si>
  <si>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</si>
  <si>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</si>
  <si>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</si>
  <si>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</si>
  <si>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</si>
  <si>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</si>
  <si>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</si>
  <si>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</si>
  <si>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</si>
  <si>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</si>
  <si>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</si>
  <si>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</si>
  <si>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</si>
  <si>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</si>
  <si>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</si>
  <si>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</si>
  <si>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</si>
  <si>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</si>
  <si>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</si>
  <si>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</si>
  <si>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</si>
  <si>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</si>
  <si>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</si>
  <si>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</si>
  <si>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</si>
  <si>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</si>
  <si>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</si>
  <si>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</si>
  <si>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</si>
  <si>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</si>
  <si>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</si>
  <si>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</si>
  <si>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</si>
  <si>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</si>
  <si>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</si>
  <si>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</si>
  <si>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</si>
  <si>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</si>
  <si>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</si>
  <si>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</si>
  <si>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</si>
  <si>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</si>
  <si>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</si>
  <si>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</si>
  <si>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</si>
  <si>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</si>
  <si>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</si>
  <si>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</si>
  <si>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</si>
  <si>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</si>
  <si>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</si>
  <si>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</si>
  <si>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</si>
  <si>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</si>
  <si>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</si>
  <si>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</si>
  <si>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</si>
  <si>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</si>
  <si>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</si>
  <si>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</si>
  <si>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</si>
  <si>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</si>
  <si>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</si>
  <si>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</si>
  <si>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</si>
  <si>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</si>
  <si>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</si>
  <si>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</si>
  <si>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</si>
  <si>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</si>
  <si>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</si>
  <si>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</si>
  <si>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</si>
  <si>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</si>
  <si>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</si>
  <si>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</si>
  <si>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</si>
  <si>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</si>
  <si>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</si>
  <si>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</si>
  <si>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</si>
  <si>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</si>
  <si>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</si>
  <si>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</si>
  <si>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</si>
  <si>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</si>
  <si>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</si>
  <si>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</si>
  <si>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</si>
  <si>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</si>
  <si>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</si>
  <si>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</si>
  <si>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</si>
  <si>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</si>
  <si>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</si>
  <si>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</si>
  <si>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</si>
  <si>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</si>
  <si>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</si>
  <si>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</si>
  <si>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</si>
  <si>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</si>
  <si>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</si>
  <si>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</si>
  <si>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</si>
  <si>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</si>
  <si>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</si>
  <si>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</si>
  <si>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</si>
  <si>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</si>
  <si>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</si>
  <si>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</si>
  <si>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</si>
  <si>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</si>
  <si>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</si>
  <si>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</si>
  <si>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</si>
  <si>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</si>
  <si>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</si>
  <si>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</si>
  <si>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</si>
  <si>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</si>
  <si>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</si>
  <si>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</si>
  <si>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</si>
  <si>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</si>
  <si>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</si>
  <si>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</si>
  <si>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</si>
  <si>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</si>
  <si>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</si>
  <si>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</si>
  <si>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</si>
  <si>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</si>
  <si>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</si>
  <si>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</si>
  <si>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</si>
  <si>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</si>
  <si>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</si>
  <si>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</si>
  <si>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</si>
  <si>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</si>
  <si>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</si>
  <si>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</si>
  <si>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</si>
  <si>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</si>
  <si>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</si>
  <si>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</si>
  <si>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</si>
  <si>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</si>
  <si>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</si>
  <si>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</si>
  <si>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</si>
  <si>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</si>
  <si>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</si>
  <si>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</si>
  <si>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</si>
  <si>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</si>
  <si>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</si>
  <si>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</si>
  <si>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</si>
  <si>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</si>
  <si>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</si>
  <si>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</si>
  <si>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</si>
  <si>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</si>
  <si>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</si>
  <si>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</si>
  <si>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</si>
  <si>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</si>
  <si>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</si>
  <si>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</si>
  <si>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</si>
  <si>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</si>
  <si>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</si>
  <si>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</si>
  <si>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</si>
  <si>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</si>
  <si>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</si>
  <si>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</si>
  <si>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</si>
  <si>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</si>
  <si>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</si>
  <si>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</si>
  <si>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</si>
  <si>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</si>
  <si>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</si>
  <si>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</si>
  <si>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</si>
  <si>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</si>
  <si>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</si>
  <si>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</si>
  <si>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</si>
  <si>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</si>
  <si>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</si>
  <si>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</si>
  <si>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</si>
  <si>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</si>
  <si>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</si>
  <si>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</si>
  <si>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</si>
  <si>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</si>
  <si>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</si>
  <si>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</si>
  <si>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</si>
  <si>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</si>
  <si>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</si>
  <si>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</si>
  <si>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</si>
  <si>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</si>
  <si>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</si>
  <si>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</si>
  <si>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</si>
  <si>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</si>
  <si>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</si>
  <si>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</si>
  <si>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</si>
  <si>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</si>
  <si>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</si>
  <si>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</si>
  <si>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</si>
  <si>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</si>
  <si>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</si>
  <si>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</si>
  <si>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</si>
  <si>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</si>
  <si>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</si>
  <si>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</si>
  <si>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</si>
  <si>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</si>
  <si>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</si>
  <si>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</si>
  <si>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</si>
  <si>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</si>
  <si>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</si>
  <si>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</si>
  <si>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</si>
  <si>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</si>
  <si>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</si>
  <si>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</si>
  <si>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</si>
  <si>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</si>
  <si>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</si>
  <si>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</si>
  <si>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</si>
  <si>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</si>
  <si>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</si>
  <si>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</si>
  <si>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</si>
  <si>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</si>
  <si>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</si>
  <si>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</si>
  <si>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</si>
  <si>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</si>
  <si>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</si>
  <si>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</si>
  <si>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</si>
  <si>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</si>
  <si>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</si>
  <si>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</si>
  <si>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</si>
  <si>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</si>
  <si>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</si>
  <si>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</si>
  <si>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</si>
  <si>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</si>
  <si>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</si>
  <si>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</si>
  <si>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</si>
  <si>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</si>
  <si>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</si>
  <si>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</si>
  <si>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</si>
  <si>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</si>
  <si>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</si>
  <si>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</si>
  <si>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</si>
  <si>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</si>
  <si>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</si>
  <si>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</si>
  <si>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</si>
  <si>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</si>
  <si>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</si>
  <si>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</si>
  <si>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</si>
  <si>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</si>
  <si>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</si>
  <si>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</si>
  <si>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</si>
  <si>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</si>
  <si>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</si>
  <si>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</si>
  <si>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</si>
  <si>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</si>
  <si>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</si>
  <si>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</si>
  <si>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</si>
  <si>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</si>
  <si>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</si>
  <si>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</si>
  <si>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</si>
  <si>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</si>
  <si>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</si>
  <si>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</si>
  <si>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</si>
  <si>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</si>
  <si>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</si>
  <si>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</si>
  <si>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</si>
  <si>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</si>
  <si>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</si>
  <si>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</si>
  <si>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</si>
  <si>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</si>
  <si>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</si>
  <si>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</si>
  <si>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</si>
  <si>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</si>
  <si>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</si>
  <si>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</si>
  <si>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</si>
  <si>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</si>
  <si>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</si>
  <si>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</si>
  <si>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</si>
  <si>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</si>
  <si>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</si>
  <si>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</si>
  <si>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</si>
  <si>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</si>
  <si>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</si>
  <si>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</si>
  <si>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</si>
  <si>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</si>
  <si>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</si>
  <si>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</si>
  <si>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</si>
  <si>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</si>
  <si>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</si>
  <si>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</si>
  <si>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</si>
  <si>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</si>
  <si>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</si>
  <si>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</si>
  <si>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</si>
  <si>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</si>
  <si>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</si>
  <si>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</si>
  <si>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</si>
  <si>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</si>
  <si>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</si>
  <si>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</si>
  <si>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</si>
  <si>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</si>
  <si>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</si>
  <si>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</si>
  <si>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</si>
  <si>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</si>
  <si>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</si>
  <si>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</si>
  <si>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</si>
  <si>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</si>
  <si>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</si>
  <si>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</si>
  <si>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</si>
  <si>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</si>
  <si>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</si>
  <si>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</si>
  <si>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</si>
  <si>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</si>
  <si>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</si>
  <si>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</si>
  <si>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</si>
  <si>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</si>
  <si>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</si>
  <si>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</si>
  <si>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</si>
  <si>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</si>
  <si>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</si>
  <si>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</si>
  <si>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</si>
  <si>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</si>
  <si>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</si>
  <si>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</si>
  <si>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</si>
  <si>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</si>
  <si>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</si>
  <si>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</si>
  <si>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</si>
  <si>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</si>
  <si>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</si>
  <si>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</si>
  <si>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</si>
  <si>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</si>
  <si>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</si>
  <si>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</si>
  <si>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</si>
  <si>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</si>
  <si>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</si>
  <si>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</si>
  <si>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</si>
  <si>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</si>
  <si>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</si>
  <si>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</si>
  <si>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</si>
  <si>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</si>
  <si>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</si>
  <si>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</si>
  <si>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</si>
  <si>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</si>
  <si>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</si>
  <si>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</si>
  <si>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</si>
  <si>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</si>
  <si>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</si>
  <si>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</si>
  <si>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</si>
  <si>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</si>
  <si>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</si>
  <si>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</si>
  <si>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</si>
  <si>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</si>
  <si>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</si>
  <si>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</si>
  <si>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</si>
  <si>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</si>
  <si>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</si>
  <si>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</si>
  <si>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</si>
  <si>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</si>
  <si>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</si>
  <si>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</si>
  <si>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</si>
  <si>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</si>
  <si>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</si>
  <si>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</si>
  <si>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</si>
  <si>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</si>
  <si>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</si>
  <si>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</si>
  <si>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</si>
  <si>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</si>
  <si>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</si>
  <si>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</si>
  <si>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</si>
  <si>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</si>
  <si>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</si>
  <si>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</si>
  <si>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</si>
  <si>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</si>
  <si>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</si>
  <si>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</si>
  <si>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</si>
  <si>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</si>
  <si>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</si>
  <si>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</si>
  <si>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</si>
  <si>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</si>
  <si>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</si>
  <si>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</si>
  <si>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</si>
  <si>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</si>
  <si>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</si>
  <si>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</si>
  <si>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</si>
  <si>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</si>
  <si>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</si>
  <si>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</si>
  <si>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</si>
  <si>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</si>
  <si>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</si>
  <si>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</si>
  <si>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</si>
  <si>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</si>
  <si>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</si>
  <si>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</si>
  <si>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</si>
  <si>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</si>
  <si>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</si>
  <si>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</si>
  <si>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</si>
  <si>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</si>
  <si>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</si>
  <si>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</si>
  <si>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</si>
  <si>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</si>
  <si>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</si>
  <si>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</si>
  <si>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</si>
  <si>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</si>
  <si>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</si>
  <si>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</si>
  <si>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</si>
  <si>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</si>
  <si>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</si>
  <si>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</si>
  <si>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</si>
  <si>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</si>
  <si>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</si>
  <si>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</si>
  <si>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</si>
  <si>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</si>
  <si>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</si>
  <si>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</si>
  <si>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</si>
  <si>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</si>
  <si>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</si>
  <si>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</si>
  <si>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</si>
  <si>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</si>
  <si>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</si>
  <si>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</si>
  <si>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</si>
  <si>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</si>
  <si>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</si>
  <si>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</si>
  <si>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</si>
  <si>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</si>
  <si>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</si>
  <si>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</si>
  <si>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</si>
  <si>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</si>
  <si>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</si>
  <si>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</si>
  <si>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</si>
  <si>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</si>
  <si>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</si>
  <si>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</si>
  <si>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</si>
  <si>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</si>
  <si>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</si>
  <si>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</si>
  <si>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</si>
  <si>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</si>
  <si>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</si>
  <si>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</si>
  <si>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</si>
  <si>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</si>
  <si>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</si>
  <si>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</si>
  <si>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</si>
  <si>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</si>
  <si>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</si>
  <si>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</si>
  <si>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</si>
  <si>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</si>
  <si>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</si>
  <si>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</si>
  <si>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</si>
  <si>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</si>
  <si>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</si>
  <si>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</si>
  <si>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</si>
  <si>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</si>
  <si>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</si>
  <si>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</si>
  <si>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</si>
  <si>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</si>
  <si>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</si>
  <si>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</si>
  <si>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</si>
  <si>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</si>
  <si>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</si>
  <si>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</si>
  <si>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</si>
  <si>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</si>
  <si>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</si>
  <si>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</si>
  <si>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</si>
  <si>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</si>
  <si>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</si>
  <si>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</si>
  <si>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</si>
  <si>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</si>
  <si>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</si>
  <si>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</si>
  <si>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</si>
  <si>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</si>
  <si>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</si>
  <si>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</si>
  <si>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</si>
  <si>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</si>
  <si>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</si>
  <si>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</si>
  <si>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</si>
  <si>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</si>
  <si>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</si>
  <si>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</si>
  <si>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</si>
  <si>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</si>
  <si>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</si>
  <si>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</si>
  <si>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</si>
  <si>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</si>
  <si>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</si>
  <si>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</si>
  <si>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</si>
  <si>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</si>
  <si>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</si>
  <si>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</si>
  <si>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</si>
  <si>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</si>
  <si>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</si>
  <si>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</si>
  <si>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</si>
  <si>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</si>
  <si>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</si>
  <si>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</si>
  <si>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</si>
  <si>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</si>
  <si>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</si>
  <si>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</si>
  <si>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</si>
  <si>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</si>
  <si>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</si>
  <si>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</si>
  <si>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</si>
  <si>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</si>
  <si>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</si>
  <si>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</si>
  <si>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</si>
  <si>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</si>
  <si>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</si>
  <si>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</si>
  <si>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</si>
  <si>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</si>
  <si>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</si>
  <si>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</si>
  <si>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</si>
  <si>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</si>
  <si>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</si>
  <si>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</si>
  <si>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</si>
  <si>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</si>
  <si>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</si>
  <si>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</si>
  <si>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</si>
  <si>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</si>
  <si>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</si>
  <si>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</si>
  <si>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</si>
  <si>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</si>
  <si>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</si>
  <si>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</si>
  <si>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</si>
  <si>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</si>
  <si>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</si>
  <si>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</si>
  <si>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</si>
  <si>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</si>
  <si>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</si>
  <si>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</si>
  <si>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</si>
  <si>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</si>
  <si>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</si>
  <si>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</si>
  <si>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</si>
  <si>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</si>
  <si>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</si>
  <si>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</si>
  <si>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</si>
  <si>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</si>
  <si>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</si>
  <si>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</si>
  <si>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</si>
  <si>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</si>
  <si>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</si>
  <si>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</si>
  <si>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</si>
  <si>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</si>
  <si>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</si>
  <si>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</si>
  <si>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</si>
  <si>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</si>
  <si>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</si>
  <si>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</si>
  <si>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</si>
  <si>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</si>
  <si>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</si>
  <si>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</si>
  <si>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</si>
  <si>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</si>
  <si>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</si>
  <si>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</si>
  <si>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</si>
  <si>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</si>
  <si>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</si>
  <si>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</si>
  <si>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</si>
  <si>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</si>
  <si>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</si>
  <si>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</si>
  <si>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</si>
  <si>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</si>
  <si>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</si>
  <si>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</si>
  <si>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</si>
  <si>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</si>
  <si>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</si>
  <si>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</si>
  <si>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</si>
  <si>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</si>
  <si>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</si>
  <si>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</si>
  <si>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</si>
  <si>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</si>
  <si>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</si>
  <si>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</si>
  <si>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</si>
  <si>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</si>
  <si>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</si>
  <si>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</si>
  <si>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</si>
  <si>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</si>
  <si>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</si>
  <si>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</si>
  <si>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</si>
  <si>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</si>
  <si>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</si>
  <si>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</si>
  <si>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</si>
  <si>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</si>
  <si>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</si>
  <si>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</si>
  <si>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</si>
  <si>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</si>
  <si>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</si>
  <si>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</si>
  <si>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</si>
  <si>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</si>
  <si>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</si>
  <si>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</si>
  <si>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</si>
  <si>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</si>
  <si>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</si>
  <si>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</si>
  <si>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</si>
  <si>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</si>
  <si>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</si>
  <si>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</si>
  <si>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</si>
  <si>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</si>
  <si>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</si>
  <si>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</si>
  <si>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</si>
  <si>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</si>
  <si>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</si>
  <si>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</si>
  <si>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</si>
  <si>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</si>
  <si>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</si>
  <si>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</si>
  <si>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</si>
  <si>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</si>
  <si>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</si>
  <si>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</si>
  <si>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</si>
  <si>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</si>
  <si>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</si>
  <si>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</si>
  <si>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</si>
  <si>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</si>
  <si>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</si>
  <si>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</si>
  <si>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</si>
  <si>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</si>
  <si>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</si>
  <si>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</si>
  <si>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</si>
  <si>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</si>
  <si>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</si>
  <si>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</si>
  <si>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</si>
  <si>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</si>
  <si>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</si>
  <si>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</si>
  <si>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</si>
  <si>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</si>
  <si>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</si>
  <si>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</si>
  <si>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</si>
  <si>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</si>
  <si>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</si>
  <si>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</si>
  <si>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</si>
  <si>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</si>
  <si>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</si>
  <si>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</si>
  <si>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</si>
  <si>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</si>
  <si>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</si>
  <si>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</si>
  <si>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</si>
  <si>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</si>
  <si>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</si>
  <si>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</si>
  <si>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</si>
  <si>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</si>
  <si>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</si>
  <si>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</si>
  <si>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</si>
  <si>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</si>
  <si>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</si>
  <si>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</si>
  <si>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</si>
  <si>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</si>
  <si>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</si>
  <si>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</si>
  <si>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</si>
  <si>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</si>
  <si>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</si>
  <si>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</si>
  <si>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</si>
  <si>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</si>
  <si>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</si>
  <si>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</si>
  <si>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</si>
  <si>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</si>
  <si>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</si>
  <si>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</si>
  <si>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</si>
  <si>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</si>
  <si>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</si>
  <si>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</si>
  <si>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</si>
  <si>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</si>
  <si>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</si>
  <si>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</si>
  <si>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</si>
  <si>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</si>
  <si>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</si>
  <si>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</si>
  <si>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</si>
  <si>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</si>
  <si>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</si>
  <si>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</si>
  <si>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</si>
  <si>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</si>
  <si>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</si>
  <si>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</si>
  <si>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</si>
  <si>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</si>
  <si>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</si>
  <si>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</si>
  <si>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</si>
  <si>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</si>
  <si>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</si>
  <si>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</si>
  <si>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</si>
  <si>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</si>
  <si>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</si>
  <si>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</si>
  <si>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</si>
  <si>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</si>
  <si>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</si>
  <si>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</si>
  <si>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</si>
  <si>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</si>
  <si>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</si>
  <si>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</si>
  <si>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</si>
  <si>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</si>
  <si>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</si>
  <si>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</si>
  <si>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</si>
  <si>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</si>
  <si>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</si>
  <si>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</si>
  <si>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</si>
  <si>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</si>
  <si>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</si>
  <si>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</si>
  <si>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</si>
  <si>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</si>
  <si>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</si>
  <si>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</si>
  <si>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</si>
  <si>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</si>
  <si>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</si>
  <si>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</si>
  <si>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</si>
  <si>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</si>
  <si>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</si>
  <si>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</si>
  <si>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</si>
  <si>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</si>
  <si>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</si>
  <si>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</si>
  <si>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</si>
  <si>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</si>
  <si>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</si>
  <si>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</si>
  <si>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</si>
  <si>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</si>
  <si>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</si>
  <si>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</si>
  <si>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</si>
  <si>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</si>
  <si>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</si>
  <si>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</si>
  <si>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</si>
  <si>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</si>
  <si>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</si>
  <si>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</si>
  <si>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</si>
  <si>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</si>
  <si>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</si>
  <si>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</si>
  <si>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</si>
  <si>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</si>
  <si>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</si>
  <si>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</si>
  <si>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</si>
  <si>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</si>
  <si>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</si>
  <si>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</si>
  <si>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</si>
  <si>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</si>
  <si>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</si>
  <si>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</si>
  <si>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</si>
  <si>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</si>
  <si>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</si>
  <si>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</si>
  <si>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</si>
  <si>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</si>
  <si>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</si>
  <si>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</si>
  <si>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</si>
  <si>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</si>
  <si>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</si>
  <si>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</si>
  <si>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</si>
  <si>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</si>
  <si>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</si>
  <si>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</si>
  <si>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</si>
  <si>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</si>
  <si>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</si>
  <si>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</si>
  <si>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</si>
  <si>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</si>
  <si>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</si>
  <si>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</si>
  <si>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</si>
  <si>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</si>
  <si>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</si>
  <si>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</si>
  <si>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</si>
  <si>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</si>
  <si>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</si>
  <si>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</si>
  <si>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</si>
  <si>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</si>
  <si>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</si>
  <si>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</si>
  <si>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</si>
  <si>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</si>
  <si>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</si>
  <si>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</si>
  <si>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</si>
  <si>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</si>
  <si>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</si>
  <si>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</si>
  <si>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</si>
  <si>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</si>
  <si>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</si>
  <si>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</si>
  <si>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</si>
  <si>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</si>
  <si>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</si>
  <si>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</si>
  <si>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</si>
  <si>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</si>
  <si>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</si>
  <si>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</si>
  <si>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</si>
  <si>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</si>
  <si>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</si>
  <si>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</si>
  <si>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</si>
  <si>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</si>
  <si>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</si>
  <si>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</si>
  <si>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</si>
  <si>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</si>
  <si>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</si>
  <si>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</si>
  <si>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</si>
  <si>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</si>
  <si>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</si>
  <si>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</si>
  <si>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</si>
  <si>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</si>
  <si>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</si>
  <si>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</si>
  <si>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</si>
  <si>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</si>
  <si>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</si>
  <si>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</si>
  <si>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</si>
  <si>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</si>
  <si>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</si>
  <si>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</si>
  <si>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</si>
  <si>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</si>
  <si>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</si>
  <si>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</si>
  <si>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</si>
  <si>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</si>
  <si>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</si>
  <si>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</si>
  <si>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</si>
  <si>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</si>
  <si>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</si>
  <si>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</si>
  <si>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</si>
  <si>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</si>
  <si>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</si>
  <si>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</si>
  <si>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</si>
  <si>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</si>
  <si>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</si>
  <si>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</si>
  <si>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</si>
  <si>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</si>
  <si>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</si>
  <si>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</si>
  <si>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</si>
  <si>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</si>
  <si>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</si>
  <si>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</si>
  <si>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</si>
  <si>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</si>
  <si>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</si>
  <si>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</si>
  <si>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</si>
  <si>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</si>
  <si>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</si>
  <si>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</si>
  <si>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</si>
  <si>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</si>
  <si>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</si>
  <si>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</si>
  <si>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</si>
  <si>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</si>
  <si>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</si>
  <si>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</si>
  <si>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</si>
  <si>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</si>
  <si>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</si>
  <si>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</si>
  <si>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</si>
  <si>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</si>
  <si>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</si>
  <si>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</si>
  <si>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</si>
  <si>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</si>
  <si>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</si>
  <si>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</si>
  <si>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</si>
  <si>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</si>
  <si>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</si>
  <si>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</si>
  <si>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</si>
  <si>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</si>
  <si>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</si>
  <si>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</si>
  <si>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</si>
  <si>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</si>
  <si>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</si>
  <si>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</si>
  <si>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</si>
  <si>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</si>
  <si>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</si>
  <si>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</si>
  <si>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</si>
  <si>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</si>
  <si>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</si>
  <si>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</si>
  <si>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</si>
  <si>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</si>
  <si>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</si>
  <si>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</si>
  <si>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</si>
  <si>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</si>
  <si>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</si>
  <si>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</si>
  <si>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</si>
  <si>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</si>
  <si>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</si>
  <si>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</si>
  <si>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</si>
  <si>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</si>
  <si>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</si>
  <si>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</si>
  <si>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</si>
  <si>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</si>
  <si>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</si>
  <si>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</si>
  <si>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</si>
  <si>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</si>
  <si>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</si>
  <si>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</si>
  <si>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</si>
  <si>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</si>
  <si>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</si>
  <si>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</si>
  <si>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</si>
  <si>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</si>
  <si>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</si>
  <si>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</si>
  <si>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</si>
  <si>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</si>
  <si>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</si>
  <si>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</si>
  <si>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</si>
  <si>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</si>
  <si>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</si>
  <si>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</si>
  <si>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</si>
  <si>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</si>
  <si>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</si>
  <si>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</si>
  <si>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</si>
  <si>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</si>
  <si>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</si>
  <si>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</si>
  <si>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</si>
  <si>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</si>
  <si>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</si>
  <si>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</si>
  <si>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</si>
  <si>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</si>
  <si>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</si>
  <si>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</si>
  <si>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</si>
  <si>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</si>
  <si>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</si>
  <si>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</si>
  <si>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</si>
  <si>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</si>
  <si>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</si>
  <si>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</si>
  <si>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</si>
  <si>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</si>
  <si>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</si>
  <si>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</si>
  <si>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</si>
  <si>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</si>
  <si>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</si>
  <si>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</si>
  <si>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</si>
  <si>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</si>
  <si>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</si>
  <si>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</si>
  <si>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</si>
  <si>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</si>
  <si>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</si>
  <si>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</si>
  <si>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</si>
  <si>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</si>
  <si>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</si>
  <si>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</si>
  <si>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</si>
  <si>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</si>
  <si>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</si>
  <si>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</si>
  <si>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</si>
  <si>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</si>
  <si>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</si>
  <si>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</si>
  <si>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</si>
  <si>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</si>
  <si>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</si>
  <si>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</si>
  <si>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</si>
  <si>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</si>
  <si>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</si>
  <si>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</si>
  <si>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</si>
  <si>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</si>
  <si>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</si>
  <si>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</si>
  <si>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</si>
  <si>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</si>
  <si>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</si>
  <si>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</si>
  <si>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</si>
  <si>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</si>
  <si>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</si>
  <si>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</si>
  <si>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</si>
  <si>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</si>
  <si>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</si>
  <si>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</si>
  <si>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</si>
  <si>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</si>
  <si>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</si>
  <si>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</si>
  <si>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</si>
  <si>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</si>
  <si>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</si>
  <si>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</si>
  <si>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</si>
  <si>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</si>
  <si>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</si>
  <si>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</si>
  <si>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</si>
  <si>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</si>
  <si>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</si>
  <si>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</si>
  <si>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</si>
  <si>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</si>
  <si>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</si>
  <si>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</si>
  <si>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</si>
  <si>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</si>
  <si>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</si>
  <si>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</si>
  <si>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</si>
  <si>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</si>
  <si>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</si>
  <si>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</si>
  <si>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</si>
  <si>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</si>
  <si>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</si>
  <si>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</si>
  <si>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</si>
  <si>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</si>
  <si>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</si>
  <si>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</si>
  <si>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</si>
  <si>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</si>
  <si>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</si>
  <si>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</si>
  <si>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</si>
  <si>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</si>
  <si>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</si>
  <si>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</si>
  <si>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</si>
  <si>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</si>
  <si>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</si>
  <si>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</si>
  <si>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</si>
  <si>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</si>
  <si>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</si>
  <si>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</si>
  <si>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</si>
  <si>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</si>
  <si>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</si>
  <si>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</si>
  <si>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</si>
  <si>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</si>
  <si>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</si>
  <si>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</si>
  <si>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</si>
  <si>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</si>
  <si>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</si>
  <si>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</si>
  <si>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</si>
  <si>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</si>
  <si>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</si>
  <si>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</si>
  <si>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</si>
  <si>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</si>
  <si>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</si>
  <si>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</si>
  <si>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</si>
  <si>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</si>
  <si>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</si>
  <si>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</si>
  <si>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</si>
  <si>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</si>
  <si>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</si>
  <si>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</si>
  <si>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</si>
  <si>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</si>
  <si>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</si>
  <si>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</si>
  <si>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</si>
  <si>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</si>
  <si>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</si>
  <si>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</si>
  <si>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</si>
  <si>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</si>
  <si>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</si>
  <si>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</si>
  <si>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</si>
  <si>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</si>
  <si>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</si>
  <si>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</si>
  <si>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</si>
  <si>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</si>
  <si>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</si>
  <si>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</si>
  <si>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</si>
  <si>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</si>
  <si>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</si>
  <si>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</si>
  <si>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</si>
  <si>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</si>
  <si>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</si>
  <si>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</si>
  <si>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</si>
  <si>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</si>
  <si>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</si>
  <si>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</si>
  <si>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</si>
  <si>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</si>
  <si>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</si>
  <si>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</si>
  <si>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</si>
  <si>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</si>
  <si>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</si>
  <si>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</si>
  <si>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</si>
  <si>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</si>
  <si>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</si>
  <si>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</si>
  <si>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</si>
  <si>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</si>
  <si>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</si>
  <si>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</si>
  <si>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</si>
  <si>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</si>
  <si>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</si>
  <si>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</si>
  <si>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</si>
  <si>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</si>
  <si>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</si>
  <si>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</si>
  <si>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</si>
  <si>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</si>
  <si>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</si>
  <si>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</si>
  <si>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</si>
  <si>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</si>
  <si>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</si>
  <si>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</si>
  <si>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</si>
  <si>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</si>
  <si>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</si>
  <si>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</si>
  <si>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</si>
  <si>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</si>
  <si>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</si>
  <si>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</si>
  <si>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</si>
  <si>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</si>
  <si>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</si>
  <si>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</si>
  <si>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</si>
  <si>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</si>
  <si>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</si>
  <si>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</si>
  <si>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</si>
  <si>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</si>
  <si>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</si>
  <si>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</si>
  <si>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</si>
  <si>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</si>
  <si>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</si>
  <si>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</si>
  <si>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</si>
  <si>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</si>
  <si>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</si>
  <si>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</si>
  <si>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</si>
  <si>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</si>
  <si>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</si>
  <si>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</si>
  <si>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</si>
  <si>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</si>
  <si>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</si>
  <si>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</si>
  <si>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</si>
  <si>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</si>
  <si>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</si>
  <si>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</si>
  <si>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</si>
  <si>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</si>
  <si>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</si>
  <si>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</si>
  <si>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</si>
  <si>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</si>
  <si>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</si>
  <si>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</si>
  <si>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</si>
  <si>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</si>
  <si>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</si>
  <si>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</si>
  <si>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</si>
  <si>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</si>
  <si>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</si>
  <si>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</si>
  <si>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</si>
  <si>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</si>
  <si>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</si>
  <si>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</si>
  <si>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</si>
  <si>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</si>
  <si>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</si>
  <si>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</si>
  <si>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</si>
  <si>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</si>
  <si>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</si>
  <si>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</si>
  <si>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</si>
  <si>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</si>
  <si>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</si>
  <si>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</si>
  <si>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</si>
  <si>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</si>
  <si>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</si>
  <si>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</si>
  <si>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</si>
  <si>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</si>
  <si>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</si>
  <si>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</si>
  <si>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</si>
  <si>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</si>
  <si>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</si>
  <si>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</si>
  <si>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</si>
  <si>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</si>
  <si>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</si>
  <si>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</si>
  <si>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</si>
  <si>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</si>
  <si>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</si>
  <si>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</si>
  <si>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</si>
  <si>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</si>
  <si>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</si>
  <si>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</si>
  <si>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</si>
  <si>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</si>
  <si>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</si>
  <si>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</si>
  <si>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</si>
  <si>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</si>
  <si>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</si>
  <si>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</si>
  <si>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</si>
  <si>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</si>
  <si>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</si>
  <si>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</si>
  <si>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</si>
  <si>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</si>
  <si>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</si>
  <si>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</si>
  <si>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</si>
  <si>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</si>
  <si>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</si>
  <si>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</si>
  <si>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</si>
  <si>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</si>
  <si>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</si>
  <si>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</si>
  <si>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</si>
  <si>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</si>
  <si>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</si>
  <si>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</si>
  <si>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</si>
  <si>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</si>
  <si>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</si>
  <si>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</si>
  <si>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</si>
  <si>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</si>
  <si>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</si>
  <si>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</si>
  <si>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</si>
  <si>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</si>
  <si>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</si>
  <si>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</si>
  <si>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</si>
  <si>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</si>
  <si>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</si>
  <si>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</si>
  <si>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</si>
  <si>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</si>
  <si>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</si>
  <si>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</si>
  <si>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</si>
  <si>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</si>
  <si>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</si>
  <si>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</si>
  <si>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</si>
  <si>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</si>
  <si>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</si>
  <si>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</si>
  <si>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</si>
  <si>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</si>
  <si>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</si>
  <si>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</si>
  <si>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</si>
  <si>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</si>
  <si>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</si>
  <si>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</si>
  <si>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</si>
  <si>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</si>
  <si>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</si>
  <si>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</si>
  <si>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</si>
  <si>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</si>
  <si>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</si>
  <si>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</si>
  <si>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</si>
  <si>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</si>
  <si>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</si>
  <si>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</si>
  <si>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</si>
  <si>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</si>
  <si>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</si>
  <si>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</si>
  <si>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</si>
  <si>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</si>
  <si>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</si>
  <si>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</si>
  <si>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</si>
  <si>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</si>
  <si>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</si>
  <si>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</si>
  <si>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</si>
  <si>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</si>
  <si>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</si>
  <si>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</si>
  <si>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</si>
  <si>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</si>
  <si>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</si>
  <si>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</si>
  <si>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</si>
  <si>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</si>
  <si>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</si>
  <si>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</si>
  <si>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</si>
  <si>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</si>
  <si>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</si>
  <si>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</si>
  <si>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</si>
  <si>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</si>
  <si>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</si>
  <si>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</si>
  <si>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</si>
  <si>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</si>
  <si>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</si>
  <si>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</si>
  <si>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</si>
  <si>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</si>
  <si>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</si>
  <si>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</si>
  <si>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</si>
  <si>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</si>
  <si>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</si>
  <si>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</si>
  <si>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</si>
  <si>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</si>
  <si>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</si>
  <si>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</si>
  <si>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</si>
  <si>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</si>
  <si>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</si>
  <si>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</si>
  <si>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</si>
  <si>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</si>
  <si>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</si>
  <si>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</si>
  <si>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</si>
  <si>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</si>
  <si>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</si>
  <si>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</si>
  <si>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</si>
  <si>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</si>
  <si>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</si>
  <si>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</si>
  <si>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</si>
  <si>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</si>
  <si>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</si>
  <si>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</si>
  <si>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</si>
  <si>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</si>
  <si>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</si>
  <si>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</si>
  <si>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</si>
  <si>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</si>
  <si>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</si>
  <si>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</si>
  <si>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</si>
  <si>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</si>
  <si>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</si>
  <si>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</si>
  <si>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</si>
  <si>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</si>
  <si>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</si>
  <si>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</si>
  <si>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</si>
  <si>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</si>
  <si>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</si>
  <si>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</si>
  <si>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</si>
  <si>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</si>
  <si>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</si>
  <si>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</si>
  <si>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</si>
  <si>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</si>
  <si>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</si>
  <si>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</si>
  <si>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</si>
  <si>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</si>
  <si>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</si>
  <si>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</si>
  <si>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</si>
  <si>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</si>
  <si>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</si>
  <si>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</si>
  <si>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</si>
  <si>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</si>
  <si>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</si>
  <si>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</si>
  <si>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</si>
  <si>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</si>
  <si>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</si>
  <si>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</si>
  <si>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</si>
  <si>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</si>
  <si>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</si>
  <si>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</si>
  <si>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</si>
  <si>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</si>
  <si>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</si>
  <si>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</si>
  <si>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</si>
  <si>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</si>
  <si>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</si>
  <si>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</si>
  <si>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</si>
  <si>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</si>
  <si>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</si>
  <si>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</si>
  <si>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</si>
  <si>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</si>
  <si>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</si>
  <si>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</si>
  <si>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</si>
  <si>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</si>
  <si>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</si>
  <si>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</si>
  <si>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</si>
  <si>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</si>
  <si>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</si>
  <si>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</si>
  <si>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</si>
  <si>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</si>
  <si>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</si>
  <si>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</si>
  <si>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</si>
  <si>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</si>
  <si>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</si>
  <si>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</si>
  <si>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</si>
  <si>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</si>
  <si>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</si>
  <si>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</si>
  <si>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</si>
  <si>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</si>
  <si>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</si>
  <si>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</si>
  <si>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</si>
  <si>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</si>
  <si>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</si>
  <si>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</si>
  <si>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</si>
  <si>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</si>
  <si>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</si>
  <si>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</si>
  <si>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</si>
  <si>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</si>
  <si>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</si>
  <si>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</si>
  <si>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</si>
  <si>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</si>
  <si>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</si>
  <si>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</si>
  <si>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</si>
  <si>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</si>
  <si>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</si>
  <si>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</si>
  <si>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</si>
  <si>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</si>
  <si>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</si>
  <si>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</si>
  <si>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</si>
  <si>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</si>
  <si>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</si>
  <si>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</si>
  <si>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</si>
  <si>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</si>
  <si>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</si>
  <si>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</si>
  <si>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</si>
  <si>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</si>
  <si>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</si>
  <si>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</si>
  <si>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</si>
  <si>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</si>
  <si>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</si>
  <si>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</si>
  <si>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</si>
  <si>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</si>
  <si>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</si>
  <si>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</si>
  <si>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</si>
  <si>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</si>
  <si>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</si>
  <si>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</si>
  <si>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</si>
  <si>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</si>
  <si>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</si>
  <si>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</si>
  <si>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</si>
  <si>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</si>
  <si>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</si>
  <si>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</si>
  <si>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</si>
  <si>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</si>
  <si>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</si>
  <si>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</si>
  <si>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</si>
  <si>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</si>
  <si>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</si>
  <si>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</si>
  <si>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</si>
  <si>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</si>
  <si>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</si>
  <si>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</si>
  <si>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</si>
  <si>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</si>
  <si>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</si>
  <si>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</si>
  <si>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</si>
  <si>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</si>
  <si>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</si>
  <si>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</si>
  <si>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</si>
  <si>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</si>
  <si>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</si>
  <si>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</si>
  <si>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</si>
  <si>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</si>
  <si>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</si>
  <si>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</si>
  <si>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</si>
  <si>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</si>
  <si>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</si>
  <si>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</si>
  <si>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</si>
  <si>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</si>
  <si>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</si>
  <si>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</si>
  <si>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</si>
  <si>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</si>
  <si>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</si>
  <si>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</si>
  <si>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</si>
  <si>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</si>
  <si>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</si>
  <si>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</si>
  <si>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</si>
  <si>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</si>
  <si>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</si>
  <si>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</si>
  <si>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</si>
  <si>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</si>
  <si>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</si>
  <si>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</si>
  <si>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</si>
  <si>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</si>
  <si>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</si>
  <si>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</si>
  <si>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</si>
  <si>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</si>
  <si>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</si>
  <si>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</si>
  <si>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</si>
  <si>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</si>
  <si>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</si>
  <si>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</si>
  <si>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</si>
  <si>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</si>
  <si>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</si>
  <si>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</si>
  <si>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</si>
  <si>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</si>
  <si>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</si>
  <si>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</si>
  <si>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</si>
  <si>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</si>
  <si>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</si>
  <si>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</si>
  <si>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</si>
  <si>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</si>
  <si>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</si>
  <si>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</si>
  <si>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</si>
  <si>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</si>
  <si>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</si>
  <si>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</si>
  <si>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</si>
  <si>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</si>
  <si>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</si>
  <si>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</si>
  <si>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</si>
  <si>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</si>
  <si>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</si>
  <si>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</si>
  <si>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</si>
  <si>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</si>
  <si>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</si>
  <si>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</si>
  <si>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</si>
  <si>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</si>
  <si>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</si>
  <si>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</si>
  <si>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</si>
  <si>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</si>
  <si>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</si>
  <si>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</si>
  <si>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</si>
  <si>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</si>
  <si>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</si>
  <si>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</si>
  <si>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</si>
  <si>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</si>
  <si>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</si>
  <si>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</si>
  <si>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</si>
  <si>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</si>
  <si>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</si>
  <si>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</si>
  <si>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</si>
  <si>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</si>
  <si>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</si>
  <si>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</si>
  <si>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</si>
  <si>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</si>
  <si>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</si>
  <si>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</si>
  <si>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</si>
  <si>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</si>
  <si>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</si>
  <si>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</si>
  <si>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</si>
  <si>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</si>
  <si>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</si>
  <si>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</si>
  <si>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</si>
  <si>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</si>
  <si>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</si>
  <si>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</si>
  <si>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</si>
  <si>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</si>
  <si>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</si>
  <si>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</si>
  <si>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</si>
  <si>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</si>
  <si>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</si>
  <si>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</si>
  <si>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</si>
  <si>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</si>
  <si>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</si>
  <si>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</si>
  <si>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</si>
  <si>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</si>
  <si>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</si>
  <si>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</si>
  <si>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</si>
  <si>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</si>
  <si>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</si>
  <si>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</si>
  <si>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</si>
  <si>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</si>
  <si>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</si>
  <si>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</si>
  <si>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</si>
  <si>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</si>
  <si>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</si>
  <si>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</si>
  <si>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</si>
  <si>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</si>
  <si>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</si>
  <si>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</si>
  <si>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</si>
  <si>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</si>
  <si>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</si>
  <si>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</si>
  <si>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</si>
  <si>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</si>
  <si>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</si>
  <si>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</si>
  <si>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</si>
  <si>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</si>
  <si>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</si>
  <si>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</si>
  <si>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</si>
  <si>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</si>
  <si>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</si>
  <si>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</si>
  <si>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</si>
  <si>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</si>
  <si>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</si>
  <si>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</si>
  <si>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</si>
  <si>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</si>
  <si>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</si>
  <si>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</si>
  <si>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</si>
  <si>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</si>
  <si>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</si>
  <si>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</si>
  <si>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</si>
  <si>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</si>
  <si>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</si>
  <si>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</si>
  <si>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</si>
  <si>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</si>
  <si>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</si>
  <si>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</si>
  <si>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</si>
  <si>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</si>
  <si>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</si>
  <si>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</si>
  <si>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</si>
  <si>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</si>
  <si>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</si>
  <si>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</si>
  <si>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</si>
  <si>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</si>
  <si>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</si>
  <si>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</si>
  <si>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</si>
  <si>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</si>
  <si>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</si>
  <si>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</si>
  <si>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</si>
  <si>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</si>
  <si>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</si>
  <si>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</si>
  <si>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</si>
  <si>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</si>
  <si>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</si>
  <si>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</si>
  <si>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</si>
  <si>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</si>
  <si>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</si>
  <si>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</si>
  <si>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</si>
  <si>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</si>
  <si>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</si>
  <si>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</si>
  <si>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</si>
  <si>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</si>
  <si>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</si>
  <si>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</si>
  <si>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</si>
  <si>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</si>
  <si>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</si>
  <si>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</si>
  <si>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</si>
  <si>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</si>
  <si>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</si>
  <si>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</si>
  <si>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</si>
  <si>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</si>
  <si>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</si>
  <si>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</si>
  <si>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</si>
  <si>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</si>
  <si>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</si>
  <si>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</si>
  <si>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</si>
  <si>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</si>
  <si>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</si>
  <si>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</si>
  <si>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</si>
  <si>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</si>
  <si>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</si>
  <si>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</si>
  <si>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</si>
  <si>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</si>
  <si>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</si>
  <si>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</si>
  <si>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</si>
  <si>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</si>
  <si>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</si>
  <si>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</si>
  <si>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</si>
  <si>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</si>
  <si>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</si>
  <si>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</si>
  <si>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</si>
  <si>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</si>
  <si>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</si>
  <si>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</si>
  <si>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</si>
  <si>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</si>
  <si>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</si>
  <si>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</si>
  <si>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</si>
  <si>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</si>
  <si>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</si>
  <si>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</si>
  <si>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</si>
  <si>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</si>
  <si>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</si>
  <si>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</si>
  <si>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</si>
  <si>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</si>
  <si>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</si>
  <si>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</si>
  <si>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</si>
  <si>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</si>
  <si>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</si>
  <si>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</si>
  <si>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</si>
  <si>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</si>
  <si>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</si>
  <si>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</si>
  <si>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</si>
  <si>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</si>
  <si>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</si>
  <si>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</si>
  <si>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</si>
  <si>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</si>
  <si>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</si>
  <si>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</si>
  <si>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</si>
  <si>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</si>
  <si>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</si>
  <si>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</si>
  <si>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</si>
  <si>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</si>
  <si>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</si>
  <si>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</si>
  <si>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</si>
  <si>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</si>
  <si>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</si>
  <si>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</si>
  <si>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</si>
  <si>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</si>
  <si>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</si>
  <si>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</si>
  <si>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</si>
  <si>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</si>
  <si>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</si>
  <si>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</si>
  <si>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</si>
  <si>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</si>
  <si>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</si>
  <si>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</si>
  <si>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</si>
  <si>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</si>
  <si>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</si>
  <si>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</si>
  <si>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</si>
  <si>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</si>
  <si>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</si>
  <si>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</si>
  <si>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</si>
  <si>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</si>
  <si>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</si>
  <si>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</si>
  <si>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</si>
  <si>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</si>
  <si>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</si>
  <si>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</si>
  <si>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</si>
  <si>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</si>
  <si>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</si>
  <si>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</si>
  <si>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</si>
  <si>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</si>
  <si>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</si>
  <si>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</si>
  <si>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</si>
  <si>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</si>
  <si>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</si>
  <si>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</si>
  <si>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</si>
  <si>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</si>
  <si>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</si>
  <si>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</si>
  <si>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</si>
  <si>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</si>
  <si>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</si>
  <si>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</si>
  <si>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</si>
  <si>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</si>
  <si>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</si>
  <si>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</si>
  <si>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</si>
  <si>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</si>
  <si>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</si>
  <si>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</si>
  <si>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</si>
  <si>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</si>
  <si>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</si>
  <si>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</si>
  <si>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</si>
  <si>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</si>
  <si>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</si>
  <si>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</si>
  <si>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</si>
  <si>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</si>
  <si>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</si>
  <si>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</si>
  <si>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</si>
  <si>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</si>
  <si>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</si>
  <si>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</si>
  <si>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</si>
  <si>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</si>
  <si>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</si>
  <si>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</si>
  <si>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</si>
  <si>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</si>
  <si>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</si>
  <si>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</si>
  <si>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</si>
  <si>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</si>
  <si>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</si>
  <si>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</si>
  <si>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</si>
  <si>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</si>
  <si>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</si>
  <si>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</si>
  <si>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</si>
  <si>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</si>
  <si>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</si>
  <si>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</si>
  <si>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</si>
  <si>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</si>
  <si>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</si>
  <si>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</si>
  <si>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</si>
  <si>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</si>
  <si>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</si>
  <si>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</si>
  <si>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</si>
  <si>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</si>
  <si>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</si>
  <si>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</si>
  <si>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</si>
  <si>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</si>
  <si>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</si>
  <si>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</si>
  <si>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</si>
  <si>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</si>
  <si>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</si>
  <si>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</si>
  <si>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</si>
  <si>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</si>
  <si>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</si>
  <si>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</si>
  <si>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</si>
  <si>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</si>
  <si>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</si>
  <si>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</si>
  <si>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</si>
  <si>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</si>
  <si>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</si>
  <si>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</si>
  <si>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</si>
  <si>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</si>
  <si>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</si>
  <si>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</si>
  <si>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</si>
  <si>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</si>
  <si>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</si>
  <si>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</si>
  <si>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</si>
  <si>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</si>
  <si>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</si>
  <si>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</si>
  <si>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</si>
  <si>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</si>
  <si>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</si>
  <si>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</si>
  <si>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</si>
  <si>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</si>
  <si>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</si>
  <si>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</si>
  <si>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</si>
  <si>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</si>
  <si>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</si>
  <si>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</si>
  <si>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</si>
  <si>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</si>
  <si>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</si>
  <si>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</si>
  <si>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</si>
  <si>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</si>
  <si>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</si>
  <si>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</si>
  <si>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</si>
  <si>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</si>
  <si>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</si>
  <si>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</si>
  <si>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</si>
  <si>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</si>
  <si>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</si>
  <si>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</si>
  <si>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</si>
  <si>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</si>
  <si>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</si>
  <si>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</si>
  <si>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</si>
  <si>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</si>
  <si>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</si>
  <si>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</si>
  <si>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</si>
  <si>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</si>
  <si>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</si>
  <si>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</si>
  <si>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</si>
  <si>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</si>
  <si>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</si>
  <si>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</si>
  <si>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</si>
  <si>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</si>
  <si>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</si>
  <si>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</si>
  <si>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</si>
  <si>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</si>
  <si>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</si>
  <si>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</si>
  <si>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</si>
  <si>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</si>
  <si>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</si>
  <si>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</si>
  <si>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</si>
  <si>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</si>
  <si>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</si>
  <si>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</si>
  <si>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</si>
  <si>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</si>
  <si>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</si>
  <si>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</si>
  <si>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</si>
  <si>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</si>
  <si>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</si>
  <si>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</si>
  <si>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</si>
  <si>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</si>
  <si>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</si>
  <si>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</si>
  <si>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</si>
  <si>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</si>
  <si>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</si>
  <si>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</si>
  <si>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</si>
  <si>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</si>
  <si>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</si>
  <si>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</si>
  <si>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</si>
  <si>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</si>
  <si>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</si>
  <si>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</si>
  <si>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</si>
  <si>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</si>
  <si>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</si>
  <si>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</si>
  <si>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</si>
  <si>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</si>
  <si>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</si>
  <si>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</si>
  <si>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</si>
  <si>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</si>
  <si>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</si>
  <si>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</si>
  <si>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</si>
  <si>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</si>
  <si>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</si>
  <si>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</si>
  <si>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</si>
  <si>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</si>
  <si>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</si>
  <si>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</si>
  <si>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</si>
  <si>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</si>
  <si>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</si>
  <si>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</si>
  <si>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</si>
  <si>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</si>
  <si>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</si>
  <si>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</si>
  <si>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</si>
  <si>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</si>
  <si>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</si>
  <si>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</si>
  <si>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</si>
  <si>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</si>
  <si>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</si>
  <si>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</si>
  <si>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</si>
  <si>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</si>
  <si>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</si>
  <si>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</si>
  <si>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</si>
  <si>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</si>
  <si>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</si>
  <si>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</si>
  <si>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</si>
  <si>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</si>
  <si>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</si>
  <si>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</si>
  <si>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</si>
  <si>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</si>
  <si>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</si>
  <si>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</si>
  <si>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</si>
  <si>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</si>
  <si>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</si>
  <si>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</si>
  <si>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</si>
  <si>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</si>
  <si>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</si>
  <si>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</si>
  <si>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</si>
  <si>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</si>
  <si>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</si>
  <si>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</si>
  <si>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</si>
  <si>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</si>
  <si>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</si>
  <si>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</si>
  <si>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</si>
  <si>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</si>
  <si>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</si>
  <si>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</si>
  <si>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</si>
  <si>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</si>
  <si>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</si>
  <si>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</si>
  <si>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</si>
  <si>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</si>
  <si>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</si>
  <si>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</si>
  <si>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</si>
  <si>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</si>
  <si>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</si>
  <si>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</si>
  <si>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</si>
  <si>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</si>
  <si>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</si>
  <si>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</si>
  <si>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</si>
  <si>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</si>
  <si>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</si>
  <si>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</si>
  <si>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</si>
  <si>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</si>
  <si>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</si>
  <si>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</si>
  <si>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</si>
  <si>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</si>
  <si>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</si>
  <si>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</si>
  <si>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</si>
  <si>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</si>
  <si>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</si>
  <si>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</si>
  <si>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</si>
  <si>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</si>
  <si>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</si>
  <si>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</si>
  <si>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</si>
  <si>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</si>
  <si>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</si>
  <si>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</si>
  <si>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</si>
  <si>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</si>
  <si>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</si>
  <si>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</si>
  <si>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</si>
  <si>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</si>
  <si>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</si>
  <si>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</si>
  <si>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</si>
  <si>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</si>
  <si>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</si>
  <si>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</si>
  <si>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</si>
  <si>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</si>
  <si>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</si>
  <si>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</si>
  <si>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</si>
  <si>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</si>
  <si>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</si>
  <si>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</si>
  <si>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</si>
  <si>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</si>
  <si>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</si>
  <si>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</si>
  <si>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</si>
  <si>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</si>
  <si>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</si>
  <si>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</si>
  <si>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</si>
  <si>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</si>
  <si>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</si>
  <si>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</si>
  <si>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</si>
  <si>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</si>
  <si>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</si>
  <si>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</si>
  <si>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</si>
  <si>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</si>
  <si>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</si>
  <si>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</si>
  <si>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</si>
  <si>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</si>
  <si>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</si>
  <si>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</si>
  <si>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</si>
  <si>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</si>
  <si>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</si>
  <si>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</si>
  <si>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</si>
  <si>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</si>
  <si>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</si>
  <si>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</si>
  <si>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</si>
  <si>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</si>
  <si>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</si>
  <si>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</si>
  <si>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</si>
  <si>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</si>
  <si>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</si>
  <si>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</si>
  <si>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</si>
  <si>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</si>
  <si>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</si>
  <si>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</si>
  <si>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</si>
  <si>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</si>
  <si>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</si>
  <si>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</si>
  <si>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</si>
  <si>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</si>
  <si>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</si>
  <si>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</si>
  <si>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</si>
  <si>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</si>
  <si>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</si>
  <si>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</si>
  <si>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</si>
  <si>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</si>
  <si>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</si>
  <si>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</si>
  <si>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</si>
  <si>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</si>
  <si>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</si>
  <si>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</si>
  <si>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</si>
  <si>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</si>
  <si>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</si>
  <si>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</si>
  <si>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</si>
  <si>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</si>
  <si>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</si>
  <si>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</si>
  <si>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</si>
  <si>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</si>
  <si>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</si>
  <si>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</si>
  <si>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</si>
  <si>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</si>
  <si>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</si>
  <si>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</si>
  <si>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</si>
  <si>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</si>
  <si>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</si>
  <si>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</si>
  <si>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</si>
  <si>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</si>
  <si>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</si>
  <si>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</si>
  <si>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</si>
  <si>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</si>
  <si>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</si>
  <si>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</si>
  <si>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</si>
  <si>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</si>
  <si>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</si>
  <si>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</si>
  <si>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</si>
  <si>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</si>
  <si>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</si>
  <si>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</si>
  <si>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</si>
  <si>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</si>
  <si>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</si>
  <si>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</si>
  <si>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</si>
  <si>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</si>
  <si>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</si>
  <si>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</si>
  <si>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</si>
  <si>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</si>
  <si>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</si>
  <si>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</si>
  <si>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</si>
  <si>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</si>
  <si>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</si>
  <si>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</si>
  <si>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</si>
  <si>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</si>
  <si>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</si>
  <si>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</si>
  <si>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</si>
  <si>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</si>
  <si>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</si>
  <si>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</si>
  <si>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</si>
  <si>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</si>
  <si>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</si>
  <si>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</si>
  <si>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</si>
  <si>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</si>
  <si>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</si>
  <si>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</si>
  <si>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</si>
  <si>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</si>
  <si>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</si>
  <si>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</si>
  <si>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</si>
  <si>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</si>
  <si>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</si>
  <si>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</si>
  <si>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</si>
  <si>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</si>
  <si>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</si>
  <si>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</si>
  <si>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</si>
  <si>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</si>
  <si>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</si>
  <si>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</si>
  <si>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</si>
  <si>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</si>
  <si>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</si>
  <si>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</si>
  <si>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</si>
  <si>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</si>
  <si>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</si>
  <si>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</si>
  <si>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</si>
  <si>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</si>
  <si>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</si>
  <si>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</si>
  <si>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</si>
  <si>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</si>
  <si>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</si>
  <si>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</si>
  <si>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</si>
  <si>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</si>
  <si>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</si>
  <si>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</si>
  <si>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</si>
  <si>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</si>
  <si>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</si>
  <si>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</si>
  <si>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</si>
  <si>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</si>
  <si>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</si>
  <si>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</si>
  <si>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</si>
  <si>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</si>
  <si>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</si>
  <si>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</si>
  <si>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</si>
  <si>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</si>
  <si>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</si>
  <si>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</si>
  <si>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</si>
  <si>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</si>
  <si>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</si>
  <si>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</si>
  <si>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</si>
  <si>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</si>
  <si>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</si>
  <si>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</si>
  <si>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</si>
  <si>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</si>
  <si>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</si>
  <si>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</si>
  <si>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</si>
  <si>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</si>
  <si>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</si>
  <si>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</si>
  <si>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</si>
  <si>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</si>
  <si>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</si>
  <si>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</si>
  <si>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</si>
  <si>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</si>
  <si>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</si>
  <si>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</si>
  <si>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</si>
  <si>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</si>
  <si>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</si>
  <si>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</si>
  <si>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</si>
  <si>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</si>
  <si>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</si>
  <si>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</si>
  <si>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</si>
  <si>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</si>
  <si>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</si>
  <si>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</si>
  <si>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</si>
  <si>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</si>
  <si>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</si>
  <si>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</si>
  <si>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</si>
  <si>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</si>
  <si>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</si>
  <si>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</si>
  <si>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</si>
  <si>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</si>
  <si>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</si>
  <si>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</si>
  <si>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</si>
  <si>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</si>
  <si>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</si>
  <si>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</si>
  <si>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</si>
  <si>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</si>
  <si>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</si>
  <si>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</si>
  <si>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</si>
  <si>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</si>
  <si>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</si>
  <si>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</si>
  <si>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</si>
  <si>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</si>
  <si>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</si>
  <si>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</si>
  <si>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</si>
  <si>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</si>
  <si>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</si>
  <si>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</si>
  <si>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</si>
  <si>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</si>
  <si>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</si>
  <si>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</si>
  <si>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</si>
  <si>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</si>
  <si>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</si>
  <si>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</si>
  <si>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</si>
  <si>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</si>
  <si>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</si>
  <si>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</si>
  <si>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</si>
  <si>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</si>
  <si>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</si>
  <si>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</si>
  <si>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</si>
  <si>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</si>
  <si>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</si>
  <si>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</si>
  <si>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</si>
  <si>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</si>
  <si>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</si>
  <si>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</si>
  <si>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</si>
  <si>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</si>
  <si>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</si>
  <si>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</si>
  <si>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</si>
  <si>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</si>
  <si>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</si>
  <si>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</si>
  <si>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</si>
  <si>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</si>
  <si>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</si>
  <si>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</si>
  <si>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</si>
  <si>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</si>
  <si>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</si>
  <si>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</si>
  <si>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</si>
  <si>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</si>
  <si>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</si>
  <si>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</si>
  <si>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</si>
  <si>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</si>
  <si>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</si>
  <si>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</si>
  <si>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</si>
  <si>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</si>
  <si>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</si>
  <si>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</si>
  <si>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</si>
  <si>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</si>
  <si>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</si>
  <si>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</si>
  <si>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</si>
  <si>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</si>
  <si>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</si>
  <si>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</si>
  <si>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</si>
  <si>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</si>
  <si>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</si>
  <si>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</si>
  <si>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</si>
  <si>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</si>
  <si>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</si>
  <si>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</si>
  <si>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</si>
  <si>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</si>
  <si>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</si>
  <si>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</si>
  <si>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</si>
  <si>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</si>
  <si>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</si>
  <si>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</si>
  <si>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</si>
  <si>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</si>
  <si>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</si>
  <si>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</si>
  <si>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</si>
  <si>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</si>
  <si>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</si>
  <si>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</si>
  <si>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</si>
  <si>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</si>
  <si>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</si>
  <si>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</si>
  <si>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</si>
  <si>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</si>
  <si>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</si>
  <si>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</si>
  <si>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</si>
  <si>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</si>
  <si>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</si>
  <si>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</si>
  <si>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</si>
  <si>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</si>
  <si>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</si>
  <si>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</si>
  <si>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</si>
  <si>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</si>
  <si>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</si>
  <si>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</si>
  <si>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</si>
  <si>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</si>
  <si>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</si>
  <si>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</si>
  <si>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</si>
  <si>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</si>
  <si>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</si>
  <si>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</si>
  <si>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</si>
  <si>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</si>
  <si>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</si>
  <si>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</si>
  <si>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</si>
  <si>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</si>
  <si>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</si>
  <si>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</si>
  <si>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</si>
  <si>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</si>
  <si>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</si>
  <si>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</si>
  <si>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</si>
  <si>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</si>
  <si>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</si>
  <si>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</si>
  <si>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</si>
  <si>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</si>
  <si>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</si>
  <si>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</si>
  <si>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</si>
  <si>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</si>
  <si>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</si>
  <si>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</si>
  <si>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</si>
  <si>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</si>
  <si>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</si>
  <si>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</si>
  <si>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</si>
  <si>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</si>
  <si>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</si>
  <si>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</si>
  <si>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</si>
  <si>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</si>
  <si>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</si>
  <si>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</si>
  <si>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</si>
  <si>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</si>
  <si>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</si>
  <si>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</si>
  <si>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</si>
  <si>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</si>
  <si>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</si>
  <si>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</si>
  <si>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</si>
  <si>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</si>
  <si>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</si>
  <si>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</si>
  <si>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</si>
  <si>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</si>
  <si>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</si>
  <si>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</si>
  <si>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</si>
  <si>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</si>
  <si>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</si>
  <si>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</si>
  <si>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序号</t>
    <phoneticPr fontId="140" type="noConversion"/>
  </si>
  <si>
    <t>房号</t>
  </si>
  <si>
    <t>房号</t>
    <phoneticPr fontId="140" type="noConversion"/>
  </si>
  <si>
    <t>用途</t>
    <phoneticPr fontId="140" type="noConversion"/>
  </si>
  <si>
    <t>车库</t>
  </si>
  <si>
    <t>车库</t>
    <phoneticPr fontId="140" type="noConversion"/>
  </si>
  <si>
    <t>层数</t>
  </si>
  <si>
    <t>层数</t>
    <phoneticPr fontId="140" type="noConversion"/>
  </si>
  <si>
    <r>
      <t>1</t>
    </r>
    <r>
      <rPr>
        <sz val="11"/>
        <color theme="1"/>
        <rFont val="DengXian"/>
        <charset val="134"/>
        <scheme val="minor"/>
      </rPr>
      <t>-2</t>
    </r>
    <phoneticPr fontId="140" type="noConversion"/>
  </si>
  <si>
    <r>
      <t>-</t>
    </r>
    <r>
      <rPr>
        <sz val="11"/>
        <color theme="1"/>
        <rFont val="DengXian"/>
        <charset val="134"/>
        <scheme val="minor"/>
      </rPr>
      <t>1</t>
    </r>
    <phoneticPr fontId="140" type="noConversion"/>
  </si>
  <si>
    <r>
      <t>A座商业</t>
    </r>
    <r>
      <rPr>
        <sz val="11"/>
        <color theme="1"/>
        <rFont val="DengXian"/>
        <charset val="134"/>
        <scheme val="minor"/>
      </rPr>
      <t>11</t>
    </r>
    <phoneticPr fontId="140" type="noConversion"/>
  </si>
  <si>
    <t>A座商业11</t>
  </si>
  <si>
    <t>A座商业12</t>
  </si>
  <si>
    <t>A座商业12</t>
    <phoneticPr fontId="140" type="noConversion"/>
  </si>
  <si>
    <t>A座商业15</t>
  </si>
  <si>
    <t>A座商业15</t>
    <phoneticPr fontId="140" type="noConversion"/>
  </si>
  <si>
    <t>A座商业2</t>
  </si>
  <si>
    <t>A座商业2</t>
    <phoneticPr fontId="140" type="noConversion"/>
  </si>
  <si>
    <r>
      <t>B座商业</t>
    </r>
    <r>
      <rPr>
        <sz val="11"/>
        <color theme="1"/>
        <rFont val="DengXian"/>
        <charset val="134"/>
        <scheme val="minor"/>
      </rPr>
      <t>10</t>
    </r>
    <phoneticPr fontId="140" type="noConversion"/>
  </si>
  <si>
    <r>
      <t>B座商业</t>
    </r>
    <r>
      <rPr>
        <sz val="11"/>
        <color theme="1"/>
        <rFont val="DengXian"/>
        <charset val="134"/>
        <scheme val="minor"/>
      </rPr>
      <t>2</t>
    </r>
    <phoneticPr fontId="140" type="noConversion"/>
  </si>
  <si>
    <t>B座商业3</t>
  </si>
  <si>
    <t>B座商业3</t>
    <phoneticPr fontId="140" type="noConversion"/>
  </si>
  <si>
    <t>B座商业5</t>
  </si>
  <si>
    <t>B座商业6</t>
  </si>
  <si>
    <t>B座商业7</t>
  </si>
  <si>
    <t>B座商业8</t>
  </si>
  <si>
    <t>B座商业5</t>
    <phoneticPr fontId="140" type="noConversion"/>
  </si>
  <si>
    <t>B座商业6</t>
    <phoneticPr fontId="140" type="noConversion"/>
  </si>
  <si>
    <t>B座商业7</t>
    <phoneticPr fontId="140" type="noConversion"/>
  </si>
  <si>
    <t>B座商业8</t>
    <phoneticPr fontId="140" type="noConversion"/>
  </si>
  <si>
    <t>B座商业9</t>
  </si>
  <si>
    <t>B座商业9</t>
    <phoneticPr fontId="140" type="noConversion"/>
  </si>
  <si>
    <t>超市</t>
  </si>
  <si>
    <t>超市</t>
    <phoneticPr fontId="140" type="noConversion"/>
  </si>
  <si>
    <t>登记用途</t>
    <phoneticPr fontId="140" type="noConversion"/>
  </si>
  <si>
    <t>建筑面积</t>
    <phoneticPr fontId="140" type="noConversion"/>
  </si>
  <si>
    <t>配套</t>
  </si>
  <si>
    <t>配套</t>
    <phoneticPr fontId="140" type="noConversion"/>
  </si>
  <si>
    <r>
      <t>朝阳区百子湾路3</t>
    </r>
    <r>
      <rPr>
        <sz val="11"/>
        <color theme="1"/>
        <rFont val="DengXian"/>
        <charset val="134"/>
        <scheme val="minor"/>
      </rPr>
      <t>2号院3号楼-1层车库</t>
    </r>
    <phoneticPr fontId="140" type="noConversion"/>
  </si>
  <si>
    <t>朝阳区百子湾路32号院3号楼-1层超市</t>
    <phoneticPr fontId="140" type="noConversion"/>
  </si>
  <si>
    <t>朝阳区百子湾路32号院3号楼1至2层A座商业11</t>
    <phoneticPr fontId="140" type="noConversion"/>
  </si>
  <si>
    <t>朝阳区百子湾路32号院3号楼1至2层A座商业12</t>
    <phoneticPr fontId="140" type="noConversion"/>
  </si>
  <si>
    <t>朝阳区百子湾路32号院3号楼1至2层A座商业15</t>
    <phoneticPr fontId="140" type="noConversion"/>
  </si>
  <si>
    <t>朝阳区百子湾路32号院3号楼1至2层A座商业2</t>
    <phoneticPr fontId="140" type="noConversion"/>
  </si>
  <si>
    <t>朝阳区百子湾路32号院3号楼-2层车库</t>
    <phoneticPr fontId="140" type="noConversion"/>
  </si>
  <si>
    <t>车位</t>
  </si>
  <si>
    <t>车位</t>
    <phoneticPr fontId="140" type="noConversion"/>
  </si>
  <si>
    <t>登记坐落</t>
    <phoneticPr fontId="140" type="noConversion"/>
  </si>
  <si>
    <t>非配套公建</t>
  </si>
  <si>
    <t>非配套公建</t>
    <phoneticPr fontId="140" type="noConversion"/>
  </si>
  <si>
    <t>朝阳区百子湾路32号院3号楼1至2层B座商业10</t>
    <phoneticPr fontId="140" type="noConversion"/>
  </si>
  <si>
    <t>朝阳区百子湾路32号院3号楼1至2层B座商业2</t>
    <phoneticPr fontId="140" type="noConversion"/>
  </si>
  <si>
    <t>朝阳区百子湾路32号院3号楼1至2层B座商业3</t>
    <phoneticPr fontId="140" type="noConversion"/>
  </si>
  <si>
    <t>朝阳区百子湾路32号院3号楼1至2层B座商业5</t>
    <phoneticPr fontId="140" type="noConversion"/>
  </si>
  <si>
    <t>朝阳区百子湾路32号院3号楼1至2层B座商业6</t>
    <phoneticPr fontId="140" type="noConversion"/>
  </si>
  <si>
    <t>朝阳区百子湾路32号院3号楼1至2层B座商业7</t>
    <phoneticPr fontId="140" type="noConversion"/>
  </si>
  <si>
    <t>朝阳区百子湾路32号院3号楼1至2层B座商业8</t>
    <phoneticPr fontId="140" type="noConversion"/>
  </si>
  <si>
    <t>朝阳区百子湾路32号院3号楼1至2层B座商业9</t>
    <phoneticPr fontId="140" type="noConversion"/>
  </si>
  <si>
    <t>朝阳区百子湾路32号院3号楼1至2层超市</t>
    <phoneticPr fontId="140" type="noConversion"/>
  </si>
  <si>
    <t>陈颖</t>
  </si>
  <si>
    <t>梁津</t>
  </si>
  <si>
    <t>核定资产</t>
  </si>
  <si>
    <t>房地产市场价值</t>
  </si>
  <si>
    <t>北京市</t>
  </si>
  <si>
    <t>企业</t>
  </si>
  <si>
    <t>出让</t>
  </si>
  <si>
    <t>是</t>
  </si>
  <si>
    <t>居住项目</t>
  </si>
  <si>
    <t>现房</t>
  </si>
  <si>
    <t>C2区027</t>
  </si>
  <si>
    <t>C1区027</t>
  </si>
  <si>
    <t>C1区028</t>
  </si>
  <si>
    <t>C1区029</t>
  </si>
  <si>
    <t>C1区030</t>
  </si>
  <si>
    <t>C1区031</t>
  </si>
  <si>
    <t>C1区032</t>
  </si>
  <si>
    <t>C1区033</t>
  </si>
  <si>
    <t>C1区042</t>
  </si>
  <si>
    <t>C1区043</t>
  </si>
  <si>
    <t>C1区044</t>
  </si>
  <si>
    <t>C1区045</t>
  </si>
  <si>
    <t>C1区047</t>
  </si>
  <si>
    <t>C1区054</t>
  </si>
  <si>
    <t>C1区055</t>
  </si>
  <si>
    <t>C1区056</t>
  </si>
  <si>
    <t>C1区057</t>
  </si>
  <si>
    <t>C1区058</t>
  </si>
  <si>
    <t>C1区059</t>
  </si>
  <si>
    <t>C1区060</t>
  </si>
  <si>
    <t>C1区061</t>
  </si>
  <si>
    <t>C1区062</t>
  </si>
  <si>
    <t>C1区064</t>
  </si>
  <si>
    <t>C1区067</t>
  </si>
  <si>
    <t>C1区068</t>
  </si>
  <si>
    <t>C1区069</t>
  </si>
  <si>
    <t>C1区071</t>
  </si>
  <si>
    <t>C1区072</t>
  </si>
  <si>
    <t>C1区073</t>
  </si>
  <si>
    <t>C1区074</t>
  </si>
  <si>
    <t>C1区075</t>
  </si>
  <si>
    <t>C1区076</t>
  </si>
  <si>
    <t>C1区077</t>
  </si>
  <si>
    <t>C1区078</t>
  </si>
  <si>
    <t>C1区083</t>
  </si>
  <si>
    <t>C1区084</t>
  </si>
  <si>
    <t>C1区085</t>
  </si>
  <si>
    <t>C1区086</t>
  </si>
  <si>
    <t>C1区087</t>
  </si>
  <si>
    <t>C1区106</t>
  </si>
  <si>
    <t>C1区107</t>
  </si>
  <si>
    <t>C1区108</t>
  </si>
  <si>
    <t>C1区109</t>
  </si>
  <si>
    <t>C1区112</t>
  </si>
  <si>
    <t>C1区113</t>
  </si>
  <si>
    <t>C1区114</t>
  </si>
  <si>
    <t>C1区115</t>
  </si>
  <si>
    <t>C1区116</t>
  </si>
  <si>
    <t>C1区117</t>
  </si>
  <si>
    <t>C1区136</t>
  </si>
  <si>
    <t>C1区137</t>
  </si>
  <si>
    <t>C1区138</t>
  </si>
  <si>
    <t>C1区139</t>
  </si>
  <si>
    <t>C1区140</t>
  </si>
  <si>
    <t>C1区141</t>
  </si>
  <si>
    <t>C1区142</t>
  </si>
  <si>
    <t>C1区144</t>
  </si>
  <si>
    <t>C1区145</t>
  </si>
  <si>
    <t>C1区146</t>
  </si>
  <si>
    <t>C1区147</t>
  </si>
  <si>
    <t>C1区148</t>
  </si>
  <si>
    <t>C1区149</t>
  </si>
  <si>
    <t>C1区150</t>
  </si>
  <si>
    <t>C1区151</t>
  </si>
  <si>
    <t>C1区152</t>
  </si>
  <si>
    <t>C1区153</t>
  </si>
  <si>
    <t>C1区154</t>
  </si>
  <si>
    <t>C1区155</t>
  </si>
  <si>
    <t>C1区156</t>
  </si>
  <si>
    <t>C1区178</t>
  </si>
  <si>
    <t>C1区179</t>
  </si>
  <si>
    <t>C1区180</t>
  </si>
  <si>
    <t>C1区181</t>
  </si>
  <si>
    <t>C1区182</t>
  </si>
  <si>
    <t>C1区183</t>
  </si>
  <si>
    <t>C1区184</t>
  </si>
  <si>
    <t>C1区186</t>
  </si>
  <si>
    <t>C1区187</t>
  </si>
  <si>
    <t>C1区188</t>
  </si>
  <si>
    <t>C1区189</t>
  </si>
  <si>
    <t>C1区190</t>
  </si>
  <si>
    <t>C1区191</t>
  </si>
  <si>
    <t>C1区192</t>
  </si>
  <si>
    <t>C1区193</t>
  </si>
  <si>
    <t>C1区194</t>
  </si>
  <si>
    <t>C1区195</t>
  </si>
  <si>
    <t>C1区196</t>
  </si>
  <si>
    <t>C1区216</t>
  </si>
  <si>
    <t>C1区217</t>
  </si>
  <si>
    <t>C1区218</t>
  </si>
  <si>
    <t>C1区219</t>
  </si>
  <si>
    <t>C1区220</t>
  </si>
  <si>
    <t>C1区221</t>
  </si>
  <si>
    <t>C1区222</t>
  </si>
  <si>
    <t>C1区223</t>
  </si>
  <si>
    <t>C1区224</t>
  </si>
  <si>
    <t>C1区225</t>
  </si>
  <si>
    <t>C1区226</t>
  </si>
  <si>
    <t>C1区227</t>
  </si>
  <si>
    <t>C1区228</t>
  </si>
  <si>
    <t>C1区229</t>
  </si>
  <si>
    <t>C1区230</t>
  </si>
  <si>
    <t>C1区231</t>
  </si>
  <si>
    <t>C1区232</t>
  </si>
  <si>
    <t>C1区233</t>
  </si>
  <si>
    <t>C1区367</t>
  </si>
  <si>
    <t>C1区368</t>
  </si>
  <si>
    <t>C1区369</t>
  </si>
  <si>
    <t>C1区377</t>
  </si>
  <si>
    <t>C1区378</t>
  </si>
  <si>
    <t>C2区018</t>
  </si>
  <si>
    <t>C2区019</t>
  </si>
  <si>
    <t>C2区020</t>
  </si>
  <si>
    <t>C2区021</t>
  </si>
  <si>
    <t>C2区022</t>
  </si>
  <si>
    <t>C2区023</t>
  </si>
  <si>
    <t>C2区024</t>
  </si>
  <si>
    <t>C2区025</t>
  </si>
  <si>
    <t>C2区026</t>
  </si>
  <si>
    <t>C2区027B</t>
  </si>
  <si>
    <t>C2区028</t>
  </si>
  <si>
    <t>C2区029</t>
  </si>
  <si>
    <t>C2区030</t>
  </si>
  <si>
    <t>C2区031</t>
  </si>
  <si>
    <t>C2区032</t>
  </si>
  <si>
    <t>C2区033</t>
  </si>
  <si>
    <t>C2区034</t>
  </si>
  <si>
    <t>C2区051</t>
  </si>
  <si>
    <t>C2区052</t>
  </si>
  <si>
    <t>C2区053</t>
  </si>
  <si>
    <t>C2区054</t>
  </si>
  <si>
    <t>C2区055</t>
  </si>
  <si>
    <t>C2区056</t>
  </si>
  <si>
    <t>C2区057</t>
  </si>
  <si>
    <t>C2区058</t>
  </si>
  <si>
    <t>C2区059</t>
  </si>
  <si>
    <t>C2区060</t>
  </si>
  <si>
    <t>C2区061</t>
  </si>
  <si>
    <t>C2区062</t>
  </si>
  <si>
    <t>C2区062B</t>
  </si>
  <si>
    <t>C2区064</t>
  </si>
  <si>
    <t>C2区065</t>
  </si>
  <si>
    <t>C2区066</t>
  </si>
  <si>
    <t>C2区067</t>
  </si>
  <si>
    <t>C2区068</t>
  </si>
  <si>
    <t>C2区069</t>
  </si>
  <si>
    <t>C2区070</t>
  </si>
  <si>
    <t>C2区072</t>
  </si>
  <si>
    <t>C2区078</t>
  </si>
  <si>
    <t>C2区079</t>
  </si>
  <si>
    <t>C2区080</t>
  </si>
  <si>
    <t>C2区081</t>
  </si>
  <si>
    <t>C2区082</t>
  </si>
  <si>
    <t>C2区083</t>
  </si>
  <si>
    <t>C2区084</t>
  </si>
  <si>
    <t>C2区085</t>
  </si>
  <si>
    <t>C2区086</t>
  </si>
  <si>
    <t>C2区087</t>
  </si>
  <si>
    <t>C2区088</t>
  </si>
  <si>
    <t>C2区089</t>
  </si>
  <si>
    <t>C2区090</t>
  </si>
  <si>
    <t>C2区091</t>
  </si>
  <si>
    <t>C2区092</t>
  </si>
  <si>
    <t>C2区093</t>
  </si>
  <si>
    <t>C2区094</t>
  </si>
  <si>
    <t>C2区095</t>
  </si>
  <si>
    <t>C2区096</t>
  </si>
  <si>
    <t>C2区097</t>
  </si>
  <si>
    <t>C2区098</t>
  </si>
  <si>
    <t>C2区099</t>
  </si>
  <si>
    <t>C2区100</t>
  </si>
  <si>
    <t>C2区122</t>
  </si>
  <si>
    <t>C2区123</t>
  </si>
  <si>
    <t>C2区124</t>
  </si>
  <si>
    <t>C2区125</t>
  </si>
  <si>
    <t>C2区126</t>
  </si>
  <si>
    <t>C2区127</t>
  </si>
  <si>
    <t>C2区128</t>
  </si>
  <si>
    <t>C2区129</t>
  </si>
  <si>
    <t>C2区130</t>
  </si>
  <si>
    <t>C2区131</t>
  </si>
  <si>
    <t>C2区132</t>
  </si>
  <si>
    <t>C2区133</t>
  </si>
  <si>
    <t>C2区134</t>
  </si>
  <si>
    <t>C2区135</t>
  </si>
  <si>
    <t>C2区136</t>
  </si>
  <si>
    <t>C2区137</t>
  </si>
  <si>
    <t>C2区138</t>
  </si>
  <si>
    <t>C2区159</t>
  </si>
  <si>
    <t>C2区160</t>
  </si>
  <si>
    <t>C2区161</t>
  </si>
  <si>
    <t>C2区162</t>
  </si>
  <si>
    <t>C2区163</t>
  </si>
  <si>
    <t>C2区164</t>
  </si>
  <si>
    <t>C2区165</t>
  </si>
  <si>
    <t>C2区166</t>
  </si>
  <si>
    <t>C2区167</t>
  </si>
  <si>
    <t>C2区168</t>
  </si>
  <si>
    <t>C2区169</t>
  </si>
  <si>
    <t>C2区170</t>
  </si>
  <si>
    <t>C2区171</t>
  </si>
  <si>
    <t>C2区172</t>
  </si>
  <si>
    <t>C2区173</t>
  </si>
  <si>
    <t>C2区174</t>
  </si>
  <si>
    <t>C2区175</t>
  </si>
  <si>
    <t>C2区176</t>
  </si>
  <si>
    <t>C2区177</t>
  </si>
  <si>
    <t>C2区178</t>
  </si>
  <si>
    <t>C2区179</t>
  </si>
  <si>
    <t>C2区204</t>
  </si>
  <si>
    <t>C2区205</t>
  </si>
  <si>
    <t>C2区206</t>
  </si>
  <si>
    <t>C2区207</t>
  </si>
  <si>
    <t>C2区208</t>
  </si>
  <si>
    <t>C2区209</t>
  </si>
  <si>
    <t>C2区210</t>
  </si>
  <si>
    <t>C2区211</t>
  </si>
  <si>
    <t>C2区212</t>
  </si>
  <si>
    <t>C2区213</t>
  </si>
  <si>
    <t>C2区214</t>
  </si>
  <si>
    <t>C2区215</t>
  </si>
  <si>
    <t>C2区216</t>
  </si>
  <si>
    <t>C2区217</t>
  </si>
  <si>
    <t>C2区218</t>
  </si>
  <si>
    <t>C2区219</t>
  </si>
  <si>
    <t>C2区220</t>
  </si>
  <si>
    <t>C2区221</t>
  </si>
  <si>
    <t>C2区222</t>
  </si>
  <si>
    <t>C2区246</t>
  </si>
  <si>
    <t>C2区247</t>
  </si>
  <si>
    <t>C2区248</t>
  </si>
  <si>
    <t>C2区249</t>
  </si>
  <si>
    <t>C2区250</t>
  </si>
  <si>
    <t>C2区251</t>
  </si>
  <si>
    <t>C2区252</t>
  </si>
  <si>
    <t>C2区253</t>
  </si>
  <si>
    <t>C2区254</t>
  </si>
  <si>
    <t>C2区255</t>
  </si>
  <si>
    <t>C2区256</t>
  </si>
  <si>
    <t>C2区257</t>
  </si>
  <si>
    <t>C2区258</t>
  </si>
  <si>
    <t>C2区259</t>
  </si>
  <si>
    <t>C2区260</t>
  </si>
  <si>
    <t>C2区261</t>
  </si>
  <si>
    <t>C2区262</t>
  </si>
  <si>
    <t>C2区263</t>
  </si>
  <si>
    <t>C2区286</t>
  </si>
  <si>
    <t>C2区287</t>
  </si>
  <si>
    <t>C2区288</t>
  </si>
  <si>
    <t>C2区289</t>
  </si>
  <si>
    <t>C2区290</t>
  </si>
  <si>
    <t>C2区291</t>
  </si>
  <si>
    <t>C2区292</t>
  </si>
  <si>
    <t>C2区293</t>
  </si>
  <si>
    <t>C2区294</t>
  </si>
  <si>
    <t>C2区295</t>
  </si>
  <si>
    <t>C2区296</t>
  </si>
  <si>
    <t>C2区297</t>
  </si>
  <si>
    <t>C2区298</t>
  </si>
  <si>
    <t>C2区299</t>
  </si>
  <si>
    <t>C2区300</t>
  </si>
  <si>
    <t>C2区301</t>
  </si>
  <si>
    <t>C2区302</t>
  </si>
  <si>
    <t>C2区304</t>
  </si>
  <si>
    <t>C2区305</t>
  </si>
  <si>
    <t>C2区306</t>
  </si>
  <si>
    <t>C2区331</t>
  </si>
  <si>
    <t>C2区332</t>
  </si>
  <si>
    <t>C2区333</t>
  </si>
  <si>
    <t>C2区334</t>
  </si>
  <si>
    <t>C2区335</t>
  </si>
  <si>
    <t>C2区336</t>
  </si>
  <si>
    <t>C2区337</t>
  </si>
  <si>
    <t>C2区338</t>
  </si>
  <si>
    <t>C2区339</t>
  </si>
  <si>
    <t>C2区340</t>
  </si>
  <si>
    <t>C2区341</t>
  </si>
  <si>
    <t>C2区342</t>
  </si>
  <si>
    <t>C2区343</t>
  </si>
  <si>
    <t>C2区344</t>
  </si>
  <si>
    <t>C2区345</t>
  </si>
  <si>
    <t>C2区346</t>
  </si>
  <si>
    <t>C2区347</t>
  </si>
  <si>
    <t>C2区348</t>
  </si>
  <si>
    <t>C2区349</t>
  </si>
  <si>
    <t>C2区350</t>
  </si>
  <si>
    <t>C2区351</t>
  </si>
  <si>
    <t>C2区373</t>
  </si>
  <si>
    <t>C2区374</t>
  </si>
  <si>
    <t>C2区375</t>
  </si>
  <si>
    <t>C2区376</t>
  </si>
  <si>
    <t>C2区377</t>
  </si>
  <si>
    <t>C2区378</t>
  </si>
  <si>
    <t>C2区379</t>
  </si>
  <si>
    <t>C2区380</t>
  </si>
  <si>
    <t>C2区381</t>
  </si>
  <si>
    <t>C2区382</t>
  </si>
  <si>
    <t>C2区383</t>
  </si>
  <si>
    <t>C2区384</t>
  </si>
  <si>
    <t>C2区385</t>
  </si>
  <si>
    <t>C2区386</t>
  </si>
  <si>
    <t>C2区387</t>
  </si>
  <si>
    <t>C2区388</t>
  </si>
  <si>
    <t>C2区389</t>
  </si>
  <si>
    <t>C2区390</t>
  </si>
  <si>
    <t>C2区391</t>
  </si>
  <si>
    <t>C2区392</t>
  </si>
  <si>
    <t>C2区393</t>
  </si>
  <si>
    <t>C2区394</t>
  </si>
  <si>
    <t>C2区395</t>
  </si>
  <si>
    <t>C2区396</t>
  </si>
  <si>
    <t>C2区397</t>
  </si>
  <si>
    <t>C2区398</t>
  </si>
  <si>
    <t>C2区399</t>
  </si>
  <si>
    <t>C2区400</t>
  </si>
  <si>
    <t>C2区400B</t>
  </si>
  <si>
    <t>C2区401</t>
  </si>
  <si>
    <t>C2区401B</t>
  </si>
  <si>
    <t>C2区402</t>
  </si>
  <si>
    <t>C2区402B</t>
  </si>
  <si>
    <t>C2区403</t>
  </si>
  <si>
    <t>C2区404</t>
  </si>
  <si>
    <t>C2区405</t>
  </si>
  <si>
    <t>C2区406</t>
  </si>
  <si>
    <t>C2区407</t>
  </si>
  <si>
    <t>C2区408</t>
  </si>
  <si>
    <t>C2区409</t>
  </si>
  <si>
    <t>C2区410</t>
  </si>
  <si>
    <t>C2区411</t>
  </si>
  <si>
    <t>C2区412</t>
  </si>
  <si>
    <t>C2区413</t>
  </si>
  <si>
    <t>C2区414</t>
  </si>
  <si>
    <t>001</t>
  </si>
  <si>
    <t>002</t>
  </si>
  <si>
    <t>003</t>
  </si>
  <si>
    <t>004</t>
  </si>
  <si>
    <t>005</t>
  </si>
  <si>
    <t>005-2</t>
  </si>
  <si>
    <t>006</t>
  </si>
  <si>
    <t>006-2</t>
  </si>
  <si>
    <t>007</t>
  </si>
  <si>
    <t>007-2</t>
  </si>
  <si>
    <t>008</t>
  </si>
  <si>
    <t>008-2</t>
  </si>
  <si>
    <t>009</t>
  </si>
  <si>
    <t>009-2</t>
  </si>
  <si>
    <t>010</t>
  </si>
  <si>
    <t>010-2</t>
  </si>
  <si>
    <t>011</t>
  </si>
  <si>
    <t>011-2</t>
  </si>
  <si>
    <t>012</t>
  </si>
  <si>
    <t>012-2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</si>
  <si>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</si>
  <si>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</si>
  <si>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</si>
  <si>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</si>
  <si>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</si>
  <si>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</si>
  <si>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</si>
  <si>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</si>
  <si>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</si>
  <si>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</si>
  <si>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</si>
  <si>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</si>
  <si>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</si>
  <si>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</si>
  <si>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</si>
  <si>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</si>
  <si>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</si>
  <si>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</si>
  <si>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</si>
  <si>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</si>
  <si>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</si>
  <si>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</si>
  <si>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</si>
  <si>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</si>
  <si>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</si>
  <si>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</si>
  <si>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2-1</t>
  </si>
  <si>
    <t>2-10</t>
  </si>
  <si>
    <t>2-11</t>
  </si>
  <si>
    <t>2-12</t>
  </si>
  <si>
    <t>2-15</t>
  </si>
  <si>
    <t>2-17</t>
  </si>
  <si>
    <t>2-18</t>
  </si>
  <si>
    <t>2-19</t>
  </si>
  <si>
    <t>2-2</t>
  </si>
  <si>
    <t>2-20</t>
  </si>
  <si>
    <t>2-21</t>
  </si>
  <si>
    <t>2-22</t>
  </si>
  <si>
    <t>2-23</t>
  </si>
  <si>
    <t>2-25</t>
  </si>
  <si>
    <t>2-26</t>
  </si>
  <si>
    <t>2-27</t>
  </si>
  <si>
    <t>2-27-1</t>
  </si>
  <si>
    <t>2-28</t>
  </si>
  <si>
    <t>2-3</t>
  </si>
  <si>
    <t>2-30</t>
  </si>
  <si>
    <t>2-32</t>
  </si>
  <si>
    <t>2-36</t>
  </si>
  <si>
    <t>2-38</t>
  </si>
  <si>
    <t>2-5</t>
  </si>
  <si>
    <t>2-50</t>
  </si>
  <si>
    <t>2-52</t>
  </si>
  <si>
    <t>2-56</t>
  </si>
  <si>
    <t>2-58</t>
  </si>
  <si>
    <t>2-6</t>
  </si>
  <si>
    <t>2-60</t>
  </si>
  <si>
    <t>2-62</t>
  </si>
  <si>
    <t>2-66</t>
  </si>
  <si>
    <t>2-68</t>
  </si>
  <si>
    <t>2-7</t>
  </si>
  <si>
    <t>2-70</t>
  </si>
  <si>
    <t>2-72</t>
  </si>
  <si>
    <t>2-76</t>
  </si>
  <si>
    <t>2-8</t>
  </si>
  <si>
    <t>2-9</t>
  </si>
  <si>
    <t>-2</t>
  </si>
  <si>
    <t>1</t>
  </si>
  <si>
    <t>1-2</t>
  </si>
  <si>
    <t>-1</t>
  </si>
  <si>
    <r>
      <t>朝阳区百子湾路32号院2号楼</t>
    </r>
    <r>
      <rPr>
        <sz val="11"/>
        <color theme="1"/>
        <rFont val="DengXian"/>
        <charset val="134"/>
        <scheme val="minor"/>
      </rPr>
      <t>001</t>
    </r>
    <phoneticPr fontId="140" type="noConversion"/>
  </si>
  <si>
    <t>11区001</t>
  </si>
  <si>
    <t>11区002</t>
  </si>
  <si>
    <t>11区003</t>
  </si>
  <si>
    <t>11区004</t>
  </si>
  <si>
    <t>11区005</t>
  </si>
  <si>
    <t>11区006</t>
  </si>
  <si>
    <t>11区006-2</t>
  </si>
  <si>
    <t>11区007</t>
  </si>
  <si>
    <t>11区007-2</t>
  </si>
  <si>
    <t>11区008</t>
  </si>
  <si>
    <t>11区010</t>
  </si>
  <si>
    <t>11区014</t>
  </si>
  <si>
    <t>11区034</t>
  </si>
  <si>
    <t>11区035</t>
  </si>
  <si>
    <t>11区036</t>
  </si>
  <si>
    <t>11区037</t>
  </si>
  <si>
    <t>11区038</t>
  </si>
  <si>
    <t>11区039</t>
  </si>
  <si>
    <t>11区041</t>
  </si>
  <si>
    <t>11区042</t>
  </si>
  <si>
    <t>11区043</t>
  </si>
  <si>
    <t>11区044</t>
  </si>
  <si>
    <t>11区045</t>
  </si>
  <si>
    <t>11区046</t>
  </si>
  <si>
    <t>11区047</t>
  </si>
  <si>
    <t>11区048</t>
  </si>
  <si>
    <t>11区049</t>
  </si>
  <si>
    <t>11区050</t>
  </si>
  <si>
    <t>11区051</t>
  </si>
  <si>
    <t>11区052</t>
  </si>
  <si>
    <t>11区053</t>
  </si>
  <si>
    <t>11区054</t>
  </si>
  <si>
    <t>11区055</t>
  </si>
  <si>
    <t>11区056</t>
  </si>
  <si>
    <t>11区057</t>
  </si>
  <si>
    <t>11区059</t>
  </si>
  <si>
    <t>11区060</t>
  </si>
  <si>
    <t>11区061</t>
  </si>
  <si>
    <t>11区062</t>
  </si>
  <si>
    <t>11区063</t>
  </si>
  <si>
    <t>11区064</t>
  </si>
  <si>
    <t>11区065</t>
  </si>
  <si>
    <t>11区066</t>
  </si>
  <si>
    <t>11区067</t>
  </si>
  <si>
    <t>11区068</t>
  </si>
  <si>
    <t>11区069</t>
  </si>
  <si>
    <t>11区070</t>
  </si>
  <si>
    <t>11区071</t>
  </si>
  <si>
    <t>11区072</t>
  </si>
  <si>
    <t>11区073</t>
  </si>
  <si>
    <t>11区074</t>
  </si>
  <si>
    <t>11区075</t>
  </si>
  <si>
    <t>11区076</t>
  </si>
  <si>
    <t>11区077</t>
  </si>
  <si>
    <t>11区078</t>
  </si>
  <si>
    <t>11区079</t>
  </si>
  <si>
    <t>11区080</t>
  </si>
  <si>
    <t>11区081</t>
  </si>
  <si>
    <t>11区082</t>
  </si>
  <si>
    <t>11区083</t>
  </si>
  <si>
    <t>11区084</t>
  </si>
  <si>
    <t>11区086</t>
  </si>
  <si>
    <t>11区087</t>
  </si>
  <si>
    <t>11区088</t>
  </si>
  <si>
    <t>11区089</t>
  </si>
  <si>
    <t>11区090</t>
  </si>
  <si>
    <t>11区092</t>
  </si>
  <si>
    <t>11区093</t>
  </si>
  <si>
    <t>11区094</t>
  </si>
  <si>
    <t>11区095</t>
  </si>
  <si>
    <t>11区096</t>
  </si>
  <si>
    <t>11区097</t>
  </si>
  <si>
    <t>11区098</t>
  </si>
  <si>
    <t>11区099</t>
  </si>
  <si>
    <t>11区100</t>
  </si>
  <si>
    <t>11区101</t>
  </si>
  <si>
    <t>11区102</t>
  </si>
  <si>
    <t>11区103</t>
  </si>
  <si>
    <t>11区104</t>
  </si>
  <si>
    <t>11区107</t>
  </si>
  <si>
    <t>11区108</t>
  </si>
  <si>
    <t>11区109</t>
  </si>
  <si>
    <t>11区110</t>
  </si>
  <si>
    <t>11区111</t>
  </si>
  <si>
    <t>11区112</t>
  </si>
  <si>
    <t>11区113</t>
  </si>
  <si>
    <t>11区114</t>
  </si>
  <si>
    <t>11区116</t>
  </si>
  <si>
    <t>11区117</t>
  </si>
  <si>
    <t>11区119</t>
  </si>
  <si>
    <t>11区120</t>
  </si>
  <si>
    <t>11区121</t>
  </si>
  <si>
    <t>11区122</t>
  </si>
  <si>
    <t>11区123</t>
  </si>
  <si>
    <t>11区124</t>
  </si>
  <si>
    <t>11区125</t>
  </si>
  <si>
    <t>11区126</t>
  </si>
  <si>
    <t>11区127</t>
  </si>
  <si>
    <t>11区128</t>
  </si>
  <si>
    <t>11区129</t>
  </si>
  <si>
    <t>11区130</t>
  </si>
  <si>
    <t>11区131</t>
  </si>
  <si>
    <t>11区132</t>
  </si>
  <si>
    <t>11区133</t>
  </si>
  <si>
    <t>11区134</t>
  </si>
  <si>
    <t>11区135</t>
  </si>
  <si>
    <t>11区136</t>
  </si>
  <si>
    <t>11区137</t>
  </si>
  <si>
    <t>11区138</t>
  </si>
  <si>
    <t>11区139</t>
  </si>
  <si>
    <t>11区140</t>
  </si>
  <si>
    <t>11区141</t>
  </si>
  <si>
    <t>11区142</t>
  </si>
  <si>
    <t>11区143</t>
  </si>
  <si>
    <t>11区144</t>
  </si>
  <si>
    <t>11区145</t>
  </si>
  <si>
    <t>11区146</t>
  </si>
  <si>
    <t>11区147</t>
  </si>
  <si>
    <t>11区148</t>
  </si>
  <si>
    <t>11区174</t>
  </si>
  <si>
    <t>11区175</t>
  </si>
  <si>
    <t>11区184</t>
  </si>
  <si>
    <t>11区185</t>
  </si>
  <si>
    <t>11区186</t>
  </si>
  <si>
    <t>11区187</t>
  </si>
  <si>
    <t>11区188</t>
  </si>
  <si>
    <t>11区189</t>
  </si>
  <si>
    <t>11区190</t>
  </si>
  <si>
    <t>11区191</t>
  </si>
  <si>
    <t>11区192</t>
  </si>
  <si>
    <t>11区193</t>
  </si>
  <si>
    <t>11区194</t>
  </si>
  <si>
    <t>11区195</t>
  </si>
  <si>
    <t>11区196</t>
  </si>
  <si>
    <t>11区197</t>
  </si>
  <si>
    <t>11区198</t>
  </si>
  <si>
    <t>11区199</t>
  </si>
  <si>
    <t>11区200</t>
  </si>
  <si>
    <t>11区201</t>
  </si>
  <si>
    <t>11区202</t>
  </si>
  <si>
    <t>11区203</t>
  </si>
  <si>
    <t>11区204</t>
  </si>
  <si>
    <t>11区205</t>
  </si>
  <si>
    <t>11区206</t>
  </si>
  <si>
    <t>11区207</t>
  </si>
  <si>
    <t>11区208</t>
  </si>
  <si>
    <t>11区209</t>
  </si>
  <si>
    <t>11区210</t>
  </si>
  <si>
    <t>11区211</t>
  </si>
  <si>
    <t>11区212</t>
  </si>
  <si>
    <t>11区213</t>
  </si>
  <si>
    <t>11区214</t>
  </si>
  <si>
    <t>11区215</t>
  </si>
  <si>
    <t>11区216</t>
  </si>
  <si>
    <t>11区217</t>
  </si>
  <si>
    <t>11区218</t>
  </si>
  <si>
    <t>11区220</t>
  </si>
  <si>
    <t>11区221</t>
  </si>
  <si>
    <t>11区222</t>
  </si>
  <si>
    <t>11区223</t>
  </si>
  <si>
    <t>11区224</t>
  </si>
  <si>
    <t>11区225</t>
  </si>
  <si>
    <t>11区226</t>
  </si>
  <si>
    <t>11区227</t>
  </si>
  <si>
    <t>11区228</t>
  </si>
  <si>
    <t>11区229</t>
  </si>
  <si>
    <t>11区230</t>
  </si>
  <si>
    <t>11区231</t>
  </si>
  <si>
    <t>11区232</t>
  </si>
  <si>
    <t>11区233</t>
  </si>
  <si>
    <t>11区234</t>
  </si>
  <si>
    <t>11区235</t>
  </si>
  <si>
    <t>11区236</t>
  </si>
  <si>
    <t>11区237</t>
  </si>
  <si>
    <t>11区238</t>
  </si>
  <si>
    <t>11区239</t>
  </si>
  <si>
    <t>11区240</t>
  </si>
  <si>
    <t>11区241</t>
  </si>
  <si>
    <t>11区242</t>
  </si>
  <si>
    <t>11区243</t>
  </si>
  <si>
    <t>11区244</t>
  </si>
  <si>
    <t>11区245</t>
  </si>
  <si>
    <t>11区246</t>
  </si>
  <si>
    <t>11区247</t>
  </si>
  <si>
    <t>11区248</t>
  </si>
  <si>
    <t>11区249</t>
  </si>
  <si>
    <t>11区250</t>
  </si>
  <si>
    <t>11区251</t>
  </si>
  <si>
    <t>11区252</t>
  </si>
  <si>
    <t>11区253</t>
  </si>
  <si>
    <t>11区254</t>
  </si>
  <si>
    <t>11区255</t>
  </si>
  <si>
    <t>11区256</t>
  </si>
  <si>
    <t>11区257</t>
  </si>
  <si>
    <t>11区258</t>
  </si>
  <si>
    <t>11区259</t>
  </si>
  <si>
    <t>11区260</t>
  </si>
  <si>
    <t>11区261</t>
  </si>
  <si>
    <t>11区262</t>
  </si>
  <si>
    <t>11区263</t>
  </si>
  <si>
    <t>11区264</t>
  </si>
  <si>
    <t>11区265</t>
  </si>
  <si>
    <t>11区266</t>
  </si>
  <si>
    <t>11区267</t>
  </si>
  <si>
    <t>11区268</t>
  </si>
  <si>
    <t>11区269</t>
  </si>
  <si>
    <t>11区270</t>
  </si>
  <si>
    <t>11区271</t>
  </si>
  <si>
    <t>11区272</t>
  </si>
  <si>
    <t>11区273</t>
  </si>
  <si>
    <t>11区274</t>
  </si>
  <si>
    <t>11区275</t>
  </si>
  <si>
    <t>11区276</t>
  </si>
  <si>
    <t>11区277</t>
  </si>
  <si>
    <t>11区278</t>
  </si>
  <si>
    <t>11区279</t>
  </si>
  <si>
    <t>11区280</t>
  </si>
  <si>
    <t>11区281</t>
  </si>
  <si>
    <t>11区282</t>
  </si>
  <si>
    <t>11区283</t>
  </si>
  <si>
    <t>11区284</t>
  </si>
  <si>
    <t>11区285</t>
  </si>
  <si>
    <t>11区286</t>
  </si>
  <si>
    <t>11区287</t>
  </si>
  <si>
    <t>11区288</t>
  </si>
  <si>
    <t>11区289</t>
  </si>
  <si>
    <t>11区290</t>
  </si>
  <si>
    <t>11区291</t>
  </si>
  <si>
    <t>11区292</t>
  </si>
  <si>
    <t>11区293</t>
  </si>
  <si>
    <t>11区294</t>
  </si>
  <si>
    <t>11区295</t>
  </si>
  <si>
    <t>11区296</t>
  </si>
  <si>
    <t>11区297</t>
  </si>
  <si>
    <t>11区298</t>
  </si>
  <si>
    <t>11区299</t>
  </si>
  <si>
    <t>11区300</t>
  </si>
  <si>
    <t>11区301</t>
  </si>
  <si>
    <t>11区302</t>
  </si>
  <si>
    <t>11区303</t>
  </si>
  <si>
    <t>11区304</t>
  </si>
  <si>
    <t>11区305</t>
  </si>
  <si>
    <t>11区306</t>
  </si>
  <si>
    <t>11区307</t>
  </si>
  <si>
    <t>11区308</t>
  </si>
  <si>
    <t>11区309</t>
  </si>
  <si>
    <t>11区310</t>
  </si>
  <si>
    <t>11区311</t>
  </si>
  <si>
    <t>11区312</t>
  </si>
  <si>
    <t>11区313</t>
  </si>
  <si>
    <t>11区314</t>
  </si>
  <si>
    <t>11区315</t>
  </si>
  <si>
    <t>11区316</t>
  </si>
  <si>
    <t>11区317</t>
  </si>
  <si>
    <t>11区318</t>
  </si>
  <si>
    <t>11区319</t>
  </si>
  <si>
    <t>11区320</t>
  </si>
  <si>
    <t>11区321</t>
  </si>
  <si>
    <t>11区322-1</t>
  </si>
  <si>
    <t>11区323</t>
  </si>
  <si>
    <t>11区324</t>
  </si>
  <si>
    <t>11区325</t>
  </si>
  <si>
    <t>11区326</t>
  </si>
  <si>
    <t>11区327</t>
  </si>
  <si>
    <t>11区328</t>
  </si>
  <si>
    <t>11区329</t>
  </si>
  <si>
    <t>11区330</t>
  </si>
  <si>
    <t>11区331</t>
  </si>
  <si>
    <t>11区332</t>
  </si>
  <si>
    <t>11区333</t>
  </si>
  <si>
    <t>11区334</t>
  </si>
  <si>
    <t>11区335</t>
  </si>
  <si>
    <t>11区336</t>
  </si>
  <si>
    <t>11区337</t>
  </si>
  <si>
    <t>11区337-1</t>
  </si>
  <si>
    <t>11区338</t>
  </si>
  <si>
    <t>11区339</t>
  </si>
  <si>
    <t>11区340</t>
  </si>
  <si>
    <t>11区341</t>
  </si>
  <si>
    <t>11区342</t>
  </si>
  <si>
    <t>11区343</t>
  </si>
  <si>
    <t>11区344</t>
  </si>
  <si>
    <t>11区345</t>
  </si>
  <si>
    <t>11区346</t>
  </si>
  <si>
    <t>11区347</t>
  </si>
  <si>
    <t>11区348</t>
  </si>
  <si>
    <t>11区349</t>
  </si>
  <si>
    <t>11区350</t>
  </si>
  <si>
    <t>11区351</t>
  </si>
  <si>
    <t>11区352</t>
  </si>
  <si>
    <t>11区353</t>
  </si>
  <si>
    <t>11区354</t>
  </si>
  <si>
    <t>11区355</t>
  </si>
  <si>
    <t>11区356</t>
  </si>
  <si>
    <t>11区357</t>
  </si>
  <si>
    <t>11区358</t>
  </si>
  <si>
    <t>11区359</t>
  </si>
  <si>
    <t>11区360</t>
  </si>
  <si>
    <t>11区361</t>
  </si>
  <si>
    <t>11区362</t>
  </si>
  <si>
    <t>11区363</t>
  </si>
  <si>
    <t>11区364</t>
  </si>
  <si>
    <t>11区365</t>
  </si>
  <si>
    <t>11区366</t>
  </si>
  <si>
    <t>11区367</t>
  </si>
  <si>
    <t>11区368</t>
  </si>
  <si>
    <t>11区369</t>
  </si>
  <si>
    <t>11区370</t>
  </si>
  <si>
    <t>11区371</t>
  </si>
  <si>
    <t>11区372</t>
  </si>
  <si>
    <t>11区373</t>
  </si>
  <si>
    <t>11区374</t>
  </si>
  <si>
    <t>11区375</t>
  </si>
  <si>
    <t>11区376</t>
  </si>
  <si>
    <t>11区377</t>
  </si>
  <si>
    <t>11区378</t>
  </si>
  <si>
    <t>11区379</t>
  </si>
  <si>
    <t>11区380</t>
  </si>
  <si>
    <t>11区381</t>
  </si>
  <si>
    <t>11区382</t>
  </si>
  <si>
    <t>11区383</t>
  </si>
  <si>
    <t>11区384</t>
  </si>
  <si>
    <t>11区385</t>
  </si>
  <si>
    <t>11区386</t>
  </si>
  <si>
    <t>11区387</t>
  </si>
  <si>
    <t>11区388</t>
  </si>
  <si>
    <t>11区389</t>
  </si>
  <si>
    <t>11区390</t>
  </si>
  <si>
    <t>11区391</t>
  </si>
  <si>
    <t>11区392</t>
  </si>
  <si>
    <t>11区393</t>
  </si>
  <si>
    <t>11区394</t>
  </si>
  <si>
    <t>11区395</t>
  </si>
  <si>
    <t>11区396</t>
  </si>
  <si>
    <t>11区397</t>
  </si>
  <si>
    <t>11区398</t>
  </si>
  <si>
    <t>11区399</t>
  </si>
  <si>
    <t>11区400</t>
  </si>
  <si>
    <t>11区401</t>
  </si>
  <si>
    <t>11区402</t>
  </si>
  <si>
    <t>11区403</t>
  </si>
  <si>
    <t>11区404</t>
  </si>
  <si>
    <t>11区405</t>
  </si>
  <si>
    <t>11区406</t>
  </si>
  <si>
    <t>11区407</t>
  </si>
  <si>
    <t>11区408</t>
  </si>
  <si>
    <t>11区409</t>
  </si>
  <si>
    <t>11区410</t>
  </si>
  <si>
    <t>11区411</t>
  </si>
  <si>
    <t>11区412</t>
  </si>
  <si>
    <t>11区413</t>
  </si>
  <si>
    <t>11区414</t>
  </si>
  <si>
    <t>11区415</t>
  </si>
  <si>
    <t>11区416</t>
  </si>
  <si>
    <t>11区417</t>
  </si>
  <si>
    <t>11区418</t>
  </si>
  <si>
    <t>11区419</t>
  </si>
  <si>
    <t>21区039</t>
  </si>
  <si>
    <t>21区040</t>
  </si>
  <si>
    <t>21区041</t>
  </si>
  <si>
    <t>21区042</t>
  </si>
  <si>
    <t>21区043</t>
  </si>
  <si>
    <t>21区044</t>
  </si>
  <si>
    <t>21区045</t>
  </si>
  <si>
    <t>21区046</t>
  </si>
  <si>
    <t>21区047</t>
  </si>
  <si>
    <t>21区048</t>
  </si>
  <si>
    <t>21区049</t>
  </si>
  <si>
    <t>21区050</t>
  </si>
  <si>
    <t>21区051</t>
  </si>
  <si>
    <t>21区052</t>
  </si>
  <si>
    <t>21区053</t>
  </si>
  <si>
    <t>21区054</t>
  </si>
  <si>
    <t>21区055</t>
  </si>
  <si>
    <t>21区058</t>
  </si>
  <si>
    <t>21区061</t>
  </si>
  <si>
    <t>21区064</t>
  </si>
  <si>
    <t>21区065</t>
  </si>
  <si>
    <t>21区066</t>
  </si>
  <si>
    <t>21区068</t>
  </si>
  <si>
    <t>21区069</t>
  </si>
  <si>
    <t>21区070</t>
  </si>
  <si>
    <t>21区071</t>
  </si>
  <si>
    <t>21区072</t>
  </si>
  <si>
    <t>21区074</t>
  </si>
  <si>
    <t>21区075</t>
  </si>
  <si>
    <t>21区077</t>
  </si>
  <si>
    <t>21区079</t>
  </si>
  <si>
    <t>21区082</t>
  </si>
  <si>
    <t>21区083</t>
  </si>
  <si>
    <t>21区084</t>
  </si>
  <si>
    <t>21区086</t>
  </si>
  <si>
    <t>21区087</t>
  </si>
  <si>
    <t>21区088</t>
  </si>
  <si>
    <t>21区089</t>
  </si>
  <si>
    <t>21区090</t>
  </si>
  <si>
    <t>21区091</t>
  </si>
  <si>
    <t>21区092</t>
  </si>
  <si>
    <t>21区093</t>
  </si>
  <si>
    <t>21区094</t>
  </si>
  <si>
    <t>21区095</t>
  </si>
  <si>
    <t>21区097</t>
  </si>
  <si>
    <t>21区098</t>
  </si>
  <si>
    <t>21区099</t>
  </si>
  <si>
    <t>21区100</t>
  </si>
  <si>
    <t>21区101</t>
  </si>
  <si>
    <t>21区103</t>
  </si>
  <si>
    <t>21区104</t>
  </si>
  <si>
    <t>21区105</t>
  </si>
  <si>
    <t>21区106</t>
  </si>
  <si>
    <t>21区107</t>
  </si>
  <si>
    <t>21区109</t>
  </si>
  <si>
    <t>21区110</t>
  </si>
  <si>
    <t>21区111</t>
  </si>
  <si>
    <t>21区112</t>
  </si>
  <si>
    <t>21区113</t>
  </si>
  <si>
    <t>21区114</t>
  </si>
  <si>
    <t>21区115</t>
  </si>
  <si>
    <t>21区116</t>
  </si>
  <si>
    <t>21区117</t>
  </si>
  <si>
    <t>21区119</t>
  </si>
  <si>
    <t>21区120</t>
  </si>
  <si>
    <t>21区122</t>
  </si>
  <si>
    <t>21区123</t>
  </si>
  <si>
    <t>21区124</t>
  </si>
  <si>
    <t>21区125</t>
  </si>
  <si>
    <t>21区126</t>
  </si>
  <si>
    <t>21区127</t>
  </si>
  <si>
    <t>21区128</t>
  </si>
  <si>
    <t>21区129</t>
  </si>
  <si>
    <t>21区130</t>
  </si>
  <si>
    <t>21区131</t>
  </si>
  <si>
    <t>21区132</t>
  </si>
  <si>
    <t>21区133</t>
  </si>
  <si>
    <t>21区134</t>
  </si>
  <si>
    <t>21区135</t>
  </si>
  <si>
    <t>21区136</t>
  </si>
  <si>
    <t>21区147</t>
  </si>
  <si>
    <t>21区150</t>
  </si>
  <si>
    <t>21区157</t>
  </si>
  <si>
    <t>21区159</t>
  </si>
  <si>
    <t>21区174</t>
  </si>
  <si>
    <t>21区195</t>
  </si>
  <si>
    <t>21区198</t>
  </si>
  <si>
    <t>21区229</t>
  </si>
  <si>
    <t>21区230</t>
  </si>
  <si>
    <t>21区231</t>
  </si>
  <si>
    <t>21区232</t>
  </si>
  <si>
    <t>21区233</t>
  </si>
  <si>
    <t>21区234</t>
  </si>
  <si>
    <t>21区235</t>
  </si>
  <si>
    <t>21区237</t>
  </si>
  <si>
    <t>21区238</t>
  </si>
  <si>
    <t>21区239</t>
  </si>
  <si>
    <t>21区240</t>
  </si>
  <si>
    <t>21区241</t>
  </si>
  <si>
    <t>21区242</t>
  </si>
  <si>
    <t>21区243</t>
  </si>
  <si>
    <t>21区244</t>
  </si>
  <si>
    <t>21区245</t>
  </si>
  <si>
    <t>21区247</t>
  </si>
  <si>
    <t>21区248</t>
  </si>
  <si>
    <t>21区249</t>
  </si>
  <si>
    <t>21区250</t>
  </si>
  <si>
    <t>21区251</t>
  </si>
  <si>
    <t>21区252</t>
  </si>
  <si>
    <t>21区253</t>
  </si>
  <si>
    <t>21区254</t>
  </si>
  <si>
    <t>21区255</t>
  </si>
  <si>
    <t>21区256</t>
  </si>
  <si>
    <t>21区257</t>
  </si>
  <si>
    <t>21区258</t>
  </si>
  <si>
    <t>21区259</t>
  </si>
  <si>
    <t>21区260</t>
  </si>
  <si>
    <t>21区261</t>
  </si>
  <si>
    <t>21区262</t>
  </si>
  <si>
    <t>21区263</t>
  </si>
  <si>
    <t>21区264</t>
  </si>
  <si>
    <t>21区265</t>
  </si>
  <si>
    <t>21区266</t>
  </si>
  <si>
    <t>21区267</t>
  </si>
  <si>
    <t>21区268</t>
  </si>
  <si>
    <t>21区269</t>
  </si>
  <si>
    <t>21区270</t>
  </si>
  <si>
    <t>21区271</t>
  </si>
  <si>
    <t>21区272</t>
  </si>
  <si>
    <t>21区273</t>
  </si>
  <si>
    <t>21区274</t>
  </si>
  <si>
    <t>21区275</t>
  </si>
  <si>
    <t>21区276</t>
  </si>
  <si>
    <t>21区277</t>
  </si>
  <si>
    <t>21区278</t>
  </si>
  <si>
    <t>21区279</t>
  </si>
  <si>
    <t>21区280</t>
  </si>
  <si>
    <t>21区283</t>
  </si>
  <si>
    <t>21区284</t>
  </si>
  <si>
    <t>21区285</t>
  </si>
  <si>
    <t>21区286</t>
  </si>
  <si>
    <t>21区287</t>
  </si>
  <si>
    <t>21区288</t>
  </si>
  <si>
    <t>21区289</t>
  </si>
  <si>
    <t>21区290</t>
  </si>
  <si>
    <t>21区292</t>
  </si>
  <si>
    <t>21区293</t>
  </si>
  <si>
    <t>21区294</t>
  </si>
  <si>
    <t>21区295</t>
  </si>
  <si>
    <t>21区296</t>
  </si>
  <si>
    <t>21区297</t>
  </si>
  <si>
    <t>21区298</t>
  </si>
  <si>
    <t>21区299</t>
  </si>
  <si>
    <t>21区300</t>
  </si>
  <si>
    <t>21区301</t>
  </si>
  <si>
    <t>21区302</t>
  </si>
  <si>
    <t>21区303</t>
  </si>
  <si>
    <t>21区304</t>
  </si>
  <si>
    <t>21区305</t>
  </si>
  <si>
    <t>21区306</t>
  </si>
  <si>
    <t>21区307</t>
  </si>
  <si>
    <t>21区308</t>
  </si>
  <si>
    <t>21区309</t>
  </si>
  <si>
    <t>21区310</t>
  </si>
  <si>
    <t>21区311</t>
  </si>
  <si>
    <t>21区312</t>
  </si>
  <si>
    <t>21区313</t>
  </si>
  <si>
    <t>21区314</t>
  </si>
  <si>
    <t>21区315</t>
  </si>
  <si>
    <t>21区316</t>
  </si>
  <si>
    <t>21区317</t>
  </si>
  <si>
    <t>21区318</t>
  </si>
  <si>
    <t>21区319</t>
  </si>
  <si>
    <t>21区320</t>
  </si>
  <si>
    <t>21区321</t>
  </si>
  <si>
    <t>21区322</t>
  </si>
  <si>
    <t>21区323</t>
  </si>
  <si>
    <t>21区324</t>
  </si>
  <si>
    <t>21区325</t>
  </si>
  <si>
    <t>21区326</t>
  </si>
  <si>
    <t>21区327</t>
  </si>
  <si>
    <t>21区329</t>
  </si>
  <si>
    <t>31区001</t>
  </si>
  <si>
    <t>31区002</t>
  </si>
  <si>
    <t>31区003</t>
  </si>
  <si>
    <t>31区004</t>
  </si>
  <si>
    <t>31区006</t>
  </si>
  <si>
    <t>31区007</t>
  </si>
  <si>
    <t>31区016</t>
  </si>
  <si>
    <t>31区017</t>
  </si>
  <si>
    <t>31区024</t>
  </si>
  <si>
    <t>31区025</t>
  </si>
  <si>
    <t>31区026</t>
  </si>
  <si>
    <t>31区093</t>
  </si>
  <si>
    <t>31区096</t>
  </si>
  <si>
    <t>31区097</t>
  </si>
  <si>
    <t>31区098</t>
  </si>
  <si>
    <t>31区099</t>
  </si>
  <si>
    <t>31区100</t>
  </si>
  <si>
    <t>31区101</t>
  </si>
  <si>
    <t>31区104</t>
  </si>
  <si>
    <t>31区118</t>
  </si>
  <si>
    <t>31区119</t>
  </si>
  <si>
    <t>31区121</t>
  </si>
  <si>
    <t>31区122</t>
  </si>
  <si>
    <t>31区123</t>
  </si>
  <si>
    <t>31区124</t>
  </si>
  <si>
    <t>31区125</t>
  </si>
  <si>
    <t>31区126</t>
  </si>
  <si>
    <t>31区127</t>
  </si>
  <si>
    <t>31区128</t>
  </si>
  <si>
    <t>31区129</t>
  </si>
  <si>
    <t>31区130</t>
  </si>
  <si>
    <t>31区131</t>
  </si>
  <si>
    <t>31区132</t>
  </si>
  <si>
    <t>31区133</t>
  </si>
  <si>
    <t>31区134</t>
  </si>
  <si>
    <t>31区135</t>
  </si>
  <si>
    <t>31区160</t>
  </si>
  <si>
    <t>31区197</t>
  </si>
  <si>
    <t>31区198</t>
  </si>
  <si>
    <t>31区199</t>
  </si>
  <si>
    <t>31区200</t>
  </si>
  <si>
    <t>31区201</t>
  </si>
  <si>
    <t>31区202</t>
  </si>
  <si>
    <t>31区203</t>
  </si>
  <si>
    <t>31区204</t>
  </si>
  <si>
    <t>31区205</t>
  </si>
  <si>
    <t>31区206</t>
  </si>
  <si>
    <t>31区207</t>
  </si>
  <si>
    <t>31区208</t>
  </si>
  <si>
    <t>31区209</t>
  </si>
  <si>
    <t>31区210</t>
  </si>
  <si>
    <t>31区211</t>
  </si>
  <si>
    <t>31区212</t>
  </si>
  <si>
    <t>31区213</t>
  </si>
  <si>
    <t>31区214</t>
  </si>
  <si>
    <t>31区215</t>
  </si>
  <si>
    <t>31区234</t>
  </si>
  <si>
    <t>31区235</t>
  </si>
  <si>
    <t>31区236</t>
  </si>
  <si>
    <t>31区237</t>
  </si>
  <si>
    <t>31区238</t>
  </si>
  <si>
    <t>31区239</t>
  </si>
  <si>
    <t>31区241</t>
  </si>
  <si>
    <t>31区242</t>
  </si>
  <si>
    <t>31区243</t>
  </si>
  <si>
    <t>31区244</t>
  </si>
  <si>
    <t>31区245</t>
  </si>
  <si>
    <t>31区246</t>
  </si>
  <si>
    <t>31区248</t>
  </si>
  <si>
    <t>31区249</t>
  </si>
  <si>
    <t>31区252</t>
  </si>
  <si>
    <t>31区274</t>
  </si>
  <si>
    <t>31区275</t>
  </si>
  <si>
    <t>31区276</t>
  </si>
  <si>
    <t>31区277</t>
  </si>
  <si>
    <t>31区278</t>
  </si>
  <si>
    <t>31区279</t>
  </si>
  <si>
    <t>31区280</t>
  </si>
  <si>
    <t>31区281</t>
  </si>
  <si>
    <t>31区282</t>
  </si>
  <si>
    <t>31区283</t>
  </si>
  <si>
    <t>31区284</t>
  </si>
  <si>
    <t>31区285</t>
  </si>
  <si>
    <t>31区286</t>
  </si>
  <si>
    <t>31区287</t>
  </si>
  <si>
    <t>31区288</t>
  </si>
  <si>
    <t>31区289</t>
  </si>
  <si>
    <t>31区290</t>
  </si>
  <si>
    <t>31区291</t>
  </si>
  <si>
    <t>31区292</t>
  </si>
  <si>
    <t>31区293</t>
  </si>
  <si>
    <t>31区294</t>
  </si>
  <si>
    <t>31区316</t>
  </si>
  <si>
    <t>31区317</t>
  </si>
  <si>
    <t>31区318</t>
  </si>
  <si>
    <t>31区319</t>
  </si>
  <si>
    <t>31区320</t>
  </si>
  <si>
    <t>31区321</t>
  </si>
  <si>
    <t>31区322</t>
  </si>
  <si>
    <t>31区323</t>
  </si>
  <si>
    <t>31区324</t>
  </si>
  <si>
    <t>31区325</t>
  </si>
  <si>
    <t>31区326</t>
  </si>
  <si>
    <t>31区327</t>
  </si>
  <si>
    <t>31区328</t>
  </si>
  <si>
    <t>31区329</t>
  </si>
  <si>
    <t>31区330</t>
  </si>
  <si>
    <t>31区331</t>
  </si>
  <si>
    <t>31区332</t>
  </si>
  <si>
    <t>31区333</t>
  </si>
  <si>
    <t>31区334</t>
  </si>
  <si>
    <t>31区335</t>
  </si>
  <si>
    <t>31区336</t>
  </si>
  <si>
    <t>22区048</t>
  </si>
  <si>
    <t>22区049</t>
  </si>
  <si>
    <t>22区050</t>
  </si>
  <si>
    <t>22区303</t>
  </si>
  <si>
    <t>22区304</t>
  </si>
  <si>
    <t>22区305</t>
  </si>
  <si>
    <t>22区306</t>
  </si>
  <si>
    <t>22区307</t>
  </si>
  <si>
    <t>22区308</t>
  </si>
  <si>
    <t>22区309</t>
  </si>
  <si>
    <t>22区310</t>
  </si>
  <si>
    <t>22区311</t>
  </si>
  <si>
    <t>22区312</t>
  </si>
  <si>
    <t>32区182</t>
  </si>
  <si>
    <t>32区183</t>
  </si>
  <si>
    <t>32区184</t>
  </si>
  <si>
    <t>32区185</t>
  </si>
  <si>
    <t>32区186</t>
  </si>
  <si>
    <t>32区187</t>
  </si>
  <si>
    <t>32区188</t>
  </si>
  <si>
    <t>32区189</t>
  </si>
  <si>
    <t>32区190</t>
  </si>
  <si>
    <t>32区191</t>
  </si>
  <si>
    <t>32区192</t>
  </si>
  <si>
    <t>32区193</t>
  </si>
  <si>
    <t>32区194</t>
  </si>
  <si>
    <t>32区195</t>
  </si>
  <si>
    <t>32区196</t>
  </si>
  <si>
    <t>32区197</t>
  </si>
  <si>
    <t>32区198</t>
  </si>
  <si>
    <t>32区199</t>
  </si>
  <si>
    <t>32区200</t>
  </si>
  <si>
    <t>32区201</t>
  </si>
  <si>
    <t>32区202</t>
  </si>
  <si>
    <t>32区203</t>
  </si>
  <si>
    <t>32区223</t>
  </si>
  <si>
    <t>32区224</t>
  </si>
  <si>
    <t>32区225</t>
  </si>
  <si>
    <t>32区226</t>
  </si>
  <si>
    <t>32区227</t>
  </si>
  <si>
    <t>32区228</t>
  </si>
  <si>
    <t>32区229</t>
  </si>
  <si>
    <t>32区230</t>
  </si>
  <si>
    <t>32区231</t>
  </si>
  <si>
    <t>32区232</t>
  </si>
  <si>
    <t>32区233</t>
  </si>
  <si>
    <t>32区234</t>
  </si>
  <si>
    <t>32区235</t>
  </si>
  <si>
    <t>32区236</t>
  </si>
  <si>
    <t>32区237</t>
  </si>
  <si>
    <t>32区238</t>
  </si>
  <si>
    <t>32区239</t>
  </si>
  <si>
    <t>32区240</t>
  </si>
  <si>
    <t>32区241</t>
  </si>
  <si>
    <t>32区242</t>
  </si>
  <si>
    <t>32区243</t>
  </si>
  <si>
    <t>32区244</t>
  </si>
  <si>
    <t>32区245</t>
  </si>
  <si>
    <t>32区264</t>
  </si>
  <si>
    <t>32区265</t>
  </si>
  <si>
    <t>32区266</t>
  </si>
  <si>
    <t>32区267</t>
  </si>
  <si>
    <t>32区268</t>
  </si>
  <si>
    <t>32区269</t>
  </si>
  <si>
    <t>32区270</t>
  </si>
  <si>
    <t>32区271</t>
  </si>
  <si>
    <t>32区272</t>
  </si>
  <si>
    <t>32区273</t>
  </si>
  <si>
    <t>32区274</t>
  </si>
  <si>
    <t>32区275</t>
  </si>
  <si>
    <t>32区276</t>
  </si>
  <si>
    <t>32区277</t>
  </si>
  <si>
    <t>32区278</t>
  </si>
  <si>
    <t>32区279</t>
  </si>
  <si>
    <t>32区280</t>
  </si>
  <si>
    <t>32区281</t>
  </si>
  <si>
    <t>32区282</t>
  </si>
  <si>
    <t>32区283</t>
  </si>
  <si>
    <t>32区284</t>
  </si>
  <si>
    <t>32区285</t>
  </si>
  <si>
    <t>32区307</t>
  </si>
  <si>
    <t>32区308</t>
  </si>
  <si>
    <t>32区309</t>
  </si>
  <si>
    <t>32区310</t>
  </si>
  <si>
    <t>32区311</t>
  </si>
  <si>
    <t>32区312</t>
  </si>
  <si>
    <t>32区313</t>
  </si>
  <si>
    <t>32区314</t>
  </si>
  <si>
    <t>32区315</t>
  </si>
  <si>
    <t>32区316</t>
  </si>
  <si>
    <t>32区317</t>
  </si>
  <si>
    <t>32区318</t>
  </si>
  <si>
    <t>32区319</t>
  </si>
  <si>
    <t>32区320</t>
  </si>
  <si>
    <t>32区321</t>
  </si>
  <si>
    <t>32区322</t>
  </si>
  <si>
    <t>32区323</t>
  </si>
  <si>
    <t>32区324</t>
  </si>
  <si>
    <t>32区325</t>
  </si>
  <si>
    <t>32区326</t>
  </si>
  <si>
    <t>32区327</t>
  </si>
  <si>
    <t>32区328</t>
  </si>
  <si>
    <t>32区329</t>
  </si>
  <si>
    <t>32区330</t>
  </si>
  <si>
    <t>32区352</t>
  </si>
  <si>
    <t>32区353</t>
  </si>
  <si>
    <t>32区354</t>
  </si>
  <si>
    <t>32区355</t>
  </si>
  <si>
    <t>32区356</t>
  </si>
  <si>
    <t>32区357</t>
  </si>
  <si>
    <t>32区358</t>
  </si>
  <si>
    <t>32区359</t>
  </si>
  <si>
    <t>32区360</t>
  </si>
  <si>
    <t>32区361</t>
  </si>
  <si>
    <t>32区362</t>
  </si>
  <si>
    <t>32区363</t>
  </si>
  <si>
    <t>32区364</t>
  </si>
  <si>
    <t>32区365</t>
  </si>
  <si>
    <t>32区366</t>
  </si>
  <si>
    <t>32区367</t>
  </si>
  <si>
    <t>32区368</t>
  </si>
  <si>
    <t>32区369</t>
  </si>
  <si>
    <t>32区370</t>
  </si>
  <si>
    <t>32区371</t>
  </si>
  <si>
    <t>32区372</t>
  </si>
  <si>
    <t>-3</t>
  </si>
  <si>
    <r>
      <t>朝阳区百子湾路32号院7号楼</t>
    </r>
    <r>
      <rPr>
        <sz val="11"/>
        <color theme="1"/>
        <rFont val="DengXian"/>
        <charset val="134"/>
        <scheme val="minor"/>
      </rPr>
      <t>11区001</t>
    </r>
    <phoneticPr fontId="140" type="noConversion"/>
  </si>
  <si>
    <t>总计</t>
    <phoneticPr fontId="140" type="noConversion"/>
  </si>
  <si>
    <t>楼层</t>
    <phoneticPr fontId="140" type="noConversion"/>
  </si>
  <si>
    <t>面积</t>
    <phoneticPr fontId="140" type="noConversion"/>
  </si>
  <si>
    <t>抵押物清单</t>
  </si>
  <si>
    <r>
      <rPr>
        <sz val="10"/>
        <rFont val="宋体"/>
        <family val="3"/>
        <charset val="134"/>
      </rPr>
      <t>坐落：朝阳区百子湾路32号院（1</t>
    </r>
    <r>
      <rPr>
        <sz val="10"/>
        <rFont val="宋体"/>
        <family val="3"/>
        <charset val="134"/>
      </rPr>
      <t>号楼、</t>
    </r>
    <r>
      <rPr>
        <sz val="10"/>
        <rFont val="宋体"/>
        <family val="3"/>
        <charset val="134"/>
      </rPr>
      <t>2号楼、3号楼、7号楼</t>
    </r>
    <r>
      <rPr>
        <sz val="10"/>
        <rFont val="宋体"/>
        <family val="3"/>
        <charset val="134"/>
      </rPr>
      <t>）</t>
    </r>
  </si>
  <si>
    <t>幢号</t>
  </si>
  <si>
    <t>结构</t>
  </si>
  <si>
    <t>竣工
日期</t>
  </si>
  <si>
    <t>房屋规划用途</t>
  </si>
  <si>
    <t>户型或间数</t>
  </si>
  <si>
    <t>建筑面积 （平方米）</t>
  </si>
  <si>
    <t>地上</t>
  </si>
  <si>
    <t>所在</t>
  </si>
  <si>
    <t>地下</t>
  </si>
  <si>
    <t>1号楼</t>
  </si>
  <si>
    <t>钢筋混凝土结构</t>
  </si>
  <si>
    <t/>
  </si>
  <si>
    <t>33/3</t>
  </si>
  <si>
    <t>其它</t>
  </si>
  <si>
    <t>1号楼332套小计面积</t>
  </si>
  <si>
    <t>2号楼</t>
  </si>
  <si>
    <t>21( -3)</t>
  </si>
  <si>
    <t>复式</t>
  </si>
  <si>
    <t>2号楼85套小计面积</t>
  </si>
  <si>
    <t>3号楼</t>
  </si>
  <si>
    <t>12/3</t>
  </si>
  <si>
    <t>B座商业10</t>
  </si>
  <si>
    <t>B座商业2</t>
  </si>
  <si>
    <t>3号楼16套小计面积</t>
  </si>
  <si>
    <t>7号楼</t>
  </si>
  <si>
    <t>0/3</t>
  </si>
  <si>
    <t>7号楼777套小计面积</t>
  </si>
  <si>
    <r>
      <rPr>
        <sz val="10"/>
        <rFont val="Times New Roman"/>
        <family val="1"/>
      </rPr>
      <t>1210</t>
    </r>
    <r>
      <rPr>
        <sz val="10"/>
        <rFont val="宋体"/>
        <family val="3"/>
        <charset val="134"/>
      </rPr>
      <t>套面积合计</t>
    </r>
  </si>
  <si>
    <r>
      <rPr>
        <sz val="10"/>
        <rFont val="宋体"/>
        <family val="3"/>
        <charset val="134"/>
      </rPr>
      <t xml:space="preserve">   上述抵押物清单内坐落于朝阳区百子湾路32号院1号楼-3层C2区400等332套房;</t>
    </r>
    <r>
      <rPr>
        <sz val="10"/>
        <rFont val="宋体"/>
        <family val="3"/>
        <charset val="134"/>
      </rPr>
      <t>2号楼1层2-68等85套房，</t>
    </r>
    <r>
      <rPr>
        <sz val="10"/>
        <rFont val="宋体"/>
        <family val="3"/>
        <charset val="134"/>
      </rPr>
      <t>3号楼-2层车库、-1层超市等16套房;7号楼-3层22区048等777套房总建筑面积51698.54平方米。</t>
    </r>
  </si>
  <si>
    <t>抵押人:北京今典鸿运房地产开发有限公司                         抵押权人:</t>
  </si>
  <si>
    <r>
      <t>7</t>
    </r>
    <r>
      <rPr>
        <sz val="11"/>
        <color theme="1"/>
        <rFont val="DengXian"/>
        <charset val="134"/>
        <scheme val="minor"/>
      </rPr>
      <t>#</t>
    </r>
    <phoneticPr fontId="140" type="noConversion"/>
  </si>
  <si>
    <t>1#2#3#</t>
    <phoneticPr fontId="140" type="noConversion"/>
  </si>
  <si>
    <t>（刘朝阳、常畅）</t>
    <phoneticPr fontId="140" type="noConversion"/>
  </si>
  <si>
    <t>（钱金霞、彭雅博）</t>
    <phoneticPr fontId="140" type="noConversion"/>
  </si>
  <si>
    <t>（宁小鳗、李诗霖）</t>
    <phoneticPr fontId="140" type="noConversion"/>
  </si>
  <si>
    <t>21、31、32区</t>
    <phoneticPr fontId="140" type="noConversion"/>
  </si>
  <si>
    <t>11区</t>
    <phoneticPr fontId="140" type="noConversion"/>
  </si>
  <si>
    <t>收益法-商业</t>
    <rPh sb="0" eb="1">
      <t>shou yi fa</t>
    </rPh>
    <rPh sb="4" eb="5">
      <t>shang ye</t>
    </rPh>
    <phoneticPr fontId="16" type="noConversion"/>
  </si>
  <si>
    <t>收益法-车位</t>
    <rPh sb="0" eb="1">
      <t>shou yi fa</t>
    </rPh>
    <rPh sb="4" eb="5">
      <t>che wei</t>
    </rPh>
    <phoneticPr fontId="16" type="noConversion"/>
  </si>
  <si>
    <t>成本法-商业</t>
    <rPh sb="0" eb="1">
      <t>cehng ben fa</t>
    </rPh>
    <rPh sb="4" eb="5">
      <t>shang ye</t>
    </rPh>
    <phoneticPr fontId="16" type="noConversion"/>
  </si>
  <si>
    <t>成本法-车位</t>
    <rPh sb="0" eb="1">
      <t>cheng ben fa</t>
    </rPh>
    <rPh sb="4" eb="5">
      <t>che wei</t>
    </rPh>
    <phoneticPr fontId="16" type="noConversion"/>
  </si>
  <si>
    <r>
      <t>朝阳区百子湾路3</t>
    </r>
    <r>
      <rPr>
        <sz val="11"/>
        <color theme="1"/>
        <rFont val="DengXian"/>
        <charset val="134"/>
        <scheme val="minor"/>
      </rPr>
      <t>2号院1号楼</t>
    </r>
    <phoneticPr fontId="140" type="noConversion"/>
  </si>
  <si>
    <t>物业租金收入</t>
  </si>
  <si>
    <t>房产证号</t>
  </si>
  <si>
    <t>楼号</t>
  </si>
  <si>
    <t>房产证房号</t>
  </si>
  <si>
    <t>面积</t>
  </si>
  <si>
    <t>抵押物清单面积</t>
  </si>
  <si>
    <t>现铺位号</t>
  </si>
  <si>
    <t>承租人名称</t>
  </si>
  <si>
    <t>实际租赁面积</t>
  </si>
  <si>
    <t>合同租赁期</t>
  </si>
  <si>
    <t>年均租金（不含税）</t>
  </si>
  <si>
    <t>是否抵押</t>
  </si>
  <si>
    <t>备注</t>
  </si>
  <si>
    <t>X京房权证朝字第615659号</t>
  </si>
  <si>
    <t>1、2</t>
  </si>
  <si>
    <t>1号：59.26
2号：57.21</t>
  </si>
  <si>
    <t>柒一拾壹（北京）有限公司</t>
  </si>
  <si>
    <t>3、5</t>
  </si>
  <si>
    <t>北京蓝城兄弟信息技术有限公司</t>
  </si>
  <si>
    <t>2#楼二层5号，一层3号</t>
  </si>
  <si>
    <t>5</t>
  </si>
  <si>
    <t>淡蓝（北京）传媒有限公司</t>
  </si>
  <si>
    <t>2#楼一层5#</t>
  </si>
  <si>
    <t>6、8</t>
  </si>
  <si>
    <t>6号：42.57
8号：46.34</t>
  </si>
  <si>
    <t>北京鸿翔记餐饮管理有限公司</t>
  </si>
  <si>
    <t>7</t>
  </si>
  <si>
    <t>北京猩球互动网络科技有限公司</t>
  </si>
  <si>
    <t>7A</t>
  </si>
  <si>
    <t>北京蓝城兄弟文化传媒有限公司</t>
  </si>
  <si>
    <t>9</t>
  </si>
  <si>
    <t>盛宏祥（北京）国际商业管理顾问有限公司</t>
  </si>
  <si>
    <t>11、17</t>
  </si>
  <si>
    <t>11号：44.26
17号：120.17</t>
  </si>
  <si>
    <t>北京快乐蜂连锁商业有限公司</t>
  </si>
  <si>
    <t>12、16</t>
  </si>
  <si>
    <t>12号：46.9
16号：无</t>
  </si>
  <si>
    <t>北京香飘意浓咖啡有限责任公司</t>
  </si>
  <si>
    <t>16为物业用房</t>
  </si>
  <si>
    <t>15</t>
  </si>
  <si>
    <t>北京新宇腾达商贸有限公司</t>
  </si>
  <si>
    <t>18</t>
  </si>
  <si>
    <t>苏日娜</t>
  </si>
  <si>
    <t>19</t>
  </si>
  <si>
    <t>李振雨</t>
  </si>
  <si>
    <t>19C</t>
  </si>
  <si>
    <t>刘彦希</t>
  </si>
  <si>
    <t>19B</t>
  </si>
  <si>
    <t>20</t>
  </si>
  <si>
    <t>北京蓁果餐饮管理有限公司</t>
  </si>
  <si>
    <t>20A</t>
  </si>
  <si>
    <t>耿乐</t>
  </si>
  <si>
    <t>21</t>
  </si>
  <si>
    <t>北京祥鼎科技发展有限公司</t>
  </si>
  <si>
    <t>23</t>
  </si>
  <si>
    <t>姜丽</t>
  </si>
  <si>
    <t>25、76</t>
  </si>
  <si>
    <t>25号:88.45
76号:99.51</t>
  </si>
  <si>
    <t>北京红雀酒吧管理公司</t>
  </si>
  <si>
    <t>26</t>
  </si>
  <si>
    <t>北京蓝城佑宁健康管理有限公司</t>
  </si>
  <si>
    <t>28</t>
  </si>
  <si>
    <t>30</t>
  </si>
  <si>
    <t>北京盛壹服装设计有限公司</t>
  </si>
  <si>
    <t>32</t>
  </si>
  <si>
    <t>威妮唯你（北京）商贸有限公司</t>
  </si>
  <si>
    <t>36</t>
  </si>
  <si>
    <t>周静静</t>
  </si>
  <si>
    <t>38</t>
  </si>
  <si>
    <t>舒雨帆</t>
  </si>
  <si>
    <t>50</t>
  </si>
  <si>
    <t>北京倾花漾商务管理有限公司</t>
  </si>
  <si>
    <t>52</t>
  </si>
  <si>
    <t>北京柚你大麦科技有限公司</t>
  </si>
  <si>
    <t>56</t>
  </si>
  <si>
    <t>北京佰利林顿贸易有限公司</t>
  </si>
  <si>
    <t>58</t>
  </si>
  <si>
    <t>孙睿宝</t>
  </si>
  <si>
    <t>60、62</t>
  </si>
  <si>
    <t>60号：48.96
62号：48.61</t>
  </si>
  <si>
    <t>北京栖木寄卖行有限公司</t>
  </si>
  <si>
    <t>66</t>
  </si>
  <si>
    <t>北京集舍服装商贸有限公司（换租）</t>
  </si>
  <si>
    <t>68</t>
  </si>
  <si>
    <t>屈阳</t>
  </si>
  <si>
    <t>70</t>
  </si>
  <si>
    <t>北京杂品无章艺术品店</t>
  </si>
  <si>
    <t>72</t>
  </si>
  <si>
    <t>SYER IAN ALAN CHRISTORHER</t>
  </si>
  <si>
    <t>缺22、27</t>
  </si>
  <si>
    <t>B1-1</t>
  </si>
  <si>
    <t>北京爱上布丁文化传媒有限公司</t>
  </si>
  <si>
    <t>B1-1K</t>
  </si>
  <si>
    <t>朱永建</t>
  </si>
  <si>
    <t>B1-2、12</t>
  </si>
  <si>
    <t>周常琼</t>
  </si>
  <si>
    <t>B1-3、13</t>
  </si>
  <si>
    <t>B1-4</t>
  </si>
  <si>
    <t>北京天宇印象文化传媒有限公司</t>
  </si>
  <si>
    <t>B1-5、16</t>
  </si>
  <si>
    <t>北京稚焰体育科技有限公司</t>
  </si>
  <si>
    <t>B1-6、18</t>
  </si>
  <si>
    <t>B1-8K</t>
  </si>
  <si>
    <t>陈大伟</t>
  </si>
  <si>
    <t>B1-7</t>
  </si>
  <si>
    <t>北京二五二九建筑设计咨询有限公司</t>
  </si>
  <si>
    <t>B1-9</t>
  </si>
  <si>
    <t>张天游</t>
  </si>
  <si>
    <t>B1-11</t>
  </si>
  <si>
    <t>北京米苏视觉婚纱摄影工作室</t>
  </si>
  <si>
    <t>B1-10</t>
  </si>
  <si>
    <t>北京春日魔法商贸有限责任公司</t>
  </si>
  <si>
    <t>B1-15</t>
  </si>
  <si>
    <t>樊广雨</t>
  </si>
  <si>
    <t>B1-15K</t>
  </si>
  <si>
    <t>铂约意堤（北京）国际贸易有限公司</t>
  </si>
  <si>
    <t>B1-14</t>
  </si>
  <si>
    <t>胡云</t>
  </si>
  <si>
    <t>B1-17</t>
  </si>
  <si>
    <t>北京菩美娜贸易有限公司</t>
  </si>
  <si>
    <t>B1-18K</t>
  </si>
  <si>
    <t>北京今日亮陶艺文化有限公司</t>
  </si>
  <si>
    <t>B1-20</t>
  </si>
  <si>
    <t>卢尚弘</t>
  </si>
  <si>
    <t>B1-21</t>
  </si>
  <si>
    <t>陈丙清</t>
  </si>
  <si>
    <t>B1-25、B2-22</t>
  </si>
  <si>
    <t>马志明</t>
  </si>
  <si>
    <t>B2-6</t>
  </si>
  <si>
    <t>B2-13、20</t>
  </si>
  <si>
    <t>石啸</t>
  </si>
  <si>
    <t>B2-15</t>
  </si>
  <si>
    <t>刘敏</t>
  </si>
  <si>
    <t>B2-18</t>
  </si>
  <si>
    <t>方禾（北京）文化传媒有限公司（扩租）</t>
  </si>
  <si>
    <t>B2-21</t>
  </si>
  <si>
    <t>李想</t>
  </si>
  <si>
    <t>B2-9、10、11</t>
  </si>
  <si>
    <t>北京墨魂文化传播有限公司</t>
  </si>
  <si>
    <t>B2-4</t>
  </si>
  <si>
    <t>北京沉银文化有限公司</t>
  </si>
  <si>
    <t>B2-7</t>
  </si>
  <si>
    <t>北京银河国际拍卖有限公司</t>
  </si>
  <si>
    <t>B3-11</t>
  </si>
  <si>
    <t>郝国柱</t>
  </si>
  <si>
    <t>B3-2</t>
  </si>
  <si>
    <t>路明宇</t>
  </si>
  <si>
    <t>B3-1</t>
  </si>
  <si>
    <t>北京诺泽建筑装饰工程有限公司</t>
  </si>
  <si>
    <t>B3-5</t>
  </si>
  <si>
    <t>北京李子艺林服饰有限公司</t>
  </si>
  <si>
    <t>B3-7</t>
  </si>
  <si>
    <t>北京华星远大文化传媒有限公司</t>
  </si>
  <si>
    <t>B3-3、4</t>
  </si>
  <si>
    <t>北京艾多文化传媒有限公司</t>
  </si>
  <si>
    <t>X京房权证朝其字第550572号</t>
  </si>
  <si>
    <t>5（2层）</t>
  </si>
  <si>
    <t>粟秋萍</t>
  </si>
  <si>
    <t>5（1层）</t>
  </si>
  <si>
    <t>满刚</t>
  </si>
  <si>
    <t>11</t>
  </si>
  <si>
    <t>黄丹</t>
  </si>
  <si>
    <t>王华平</t>
  </si>
  <si>
    <t>16</t>
  </si>
  <si>
    <t>乔宇</t>
  </si>
  <si>
    <t>王嘉禹</t>
  </si>
  <si>
    <t>杨凯（扩租）</t>
  </si>
  <si>
    <t>22</t>
  </si>
  <si>
    <t>北京法图映像摄影文化发展有限公司</t>
  </si>
  <si>
    <t>北京墨苏科技有限公司</t>
  </si>
  <si>
    <t>北京微客科技有限公司</t>
  </si>
  <si>
    <t>王杰娜</t>
  </si>
  <si>
    <t>刘凯</t>
  </si>
  <si>
    <t>A1-7\8\9\10</t>
  </si>
  <si>
    <t>北京法映像文化发展有限公司</t>
    <phoneticPr fontId="140" type="noConversion"/>
  </si>
  <si>
    <t>负1层：353.11
负2层：1389.34</t>
  </si>
  <si>
    <t>A1-11</t>
  </si>
  <si>
    <t>北京法映像文化发展有限公司</t>
  </si>
  <si>
    <t>A1-12</t>
  </si>
  <si>
    <t>A1-11A</t>
  </si>
  <si>
    <t>B1-19</t>
  </si>
  <si>
    <t>赵文勇</t>
  </si>
  <si>
    <t>何桂青</t>
  </si>
  <si>
    <t>楼号</t>
    <phoneticPr fontId="140" type="noConversion"/>
  </si>
  <si>
    <t>登记房号</t>
    <phoneticPr fontId="140" type="noConversion"/>
  </si>
  <si>
    <t>现状房号</t>
    <rPh sb="0" eb="1">
      <t>xian zhuang</t>
    </rPh>
    <rPh sb="2" eb="3">
      <t>fang hao</t>
    </rPh>
    <phoneticPr fontId="140" type="noConversion"/>
  </si>
  <si>
    <t>登记建面</t>
    <phoneticPr fontId="140" type="noConversion"/>
  </si>
  <si>
    <t>实际租赁面积</t>
    <phoneticPr fontId="140" type="noConversion"/>
  </si>
  <si>
    <t>出租比率</t>
    <rPh sb="0" eb="1">
      <t>chu zu</t>
    </rPh>
    <rPh sb="2" eb="3">
      <t>bi lü</t>
    </rPh>
    <phoneticPr fontId="140" type="noConversion"/>
  </si>
  <si>
    <t>合同租赁期</t>
    <phoneticPr fontId="140" type="noConversion"/>
  </si>
  <si>
    <t>剩余租期</t>
    <rPh sb="0" eb="1">
      <t>shng yu</t>
    </rPh>
    <rPh sb="2" eb="3">
      <t>zu qi</t>
    </rPh>
    <phoneticPr fontId="140" type="noConversion"/>
  </si>
  <si>
    <t>年均租金（不含税）</t>
    <phoneticPr fontId="140" type="noConversion"/>
  </si>
  <si>
    <t>建筑面积租金</t>
    <rPh sb="0" eb="1">
      <t>jian zhu mian ji</t>
    </rPh>
    <rPh sb="4" eb="5">
      <t>zu jin</t>
    </rPh>
    <phoneticPr fontId="140" type="noConversion"/>
  </si>
  <si>
    <t>实际租金</t>
    <rPh sb="0" eb="1">
      <t>shi ji</t>
    </rPh>
    <rPh sb="2" eb="3">
      <t>zu jin</t>
    </rPh>
    <phoneticPr fontId="140" type="noConversion"/>
  </si>
  <si>
    <t>5</t>
    <phoneticPr fontId="140" type="noConversion"/>
  </si>
  <si>
    <t>11</t>
    <phoneticPr fontId="140" type="noConversion"/>
  </si>
  <si>
    <t>15</t>
    <phoneticPr fontId="140" type="noConversion"/>
  </si>
  <si>
    <t>3号楼</t>
    <phoneticPr fontId="140" type="noConversion"/>
  </si>
  <si>
    <t>A座商业11</t>
    <phoneticPr fontId="140" type="noConversion"/>
  </si>
  <si>
    <t>16</t>
    <phoneticPr fontId="140" type="noConversion"/>
  </si>
  <si>
    <t>1-2</t>
    <phoneticPr fontId="140" type="noConversion"/>
  </si>
  <si>
    <t>18</t>
    <phoneticPr fontId="140" type="noConversion"/>
  </si>
  <si>
    <t>20</t>
    <phoneticPr fontId="140" type="noConversion"/>
  </si>
  <si>
    <t>22</t>
    <phoneticPr fontId="140" type="noConversion"/>
  </si>
  <si>
    <t>26</t>
    <phoneticPr fontId="140" type="noConversion"/>
  </si>
  <si>
    <t>28</t>
    <phoneticPr fontId="140" type="noConversion"/>
  </si>
  <si>
    <t>30</t>
    <phoneticPr fontId="140" type="noConversion"/>
  </si>
  <si>
    <t>32</t>
    <phoneticPr fontId="140" type="noConversion"/>
  </si>
  <si>
    <t>36</t>
    <phoneticPr fontId="140" type="noConversion"/>
  </si>
  <si>
    <t>-</t>
    <phoneticPr fontId="140" type="noConversion"/>
  </si>
  <si>
    <t>0</t>
    <phoneticPr fontId="140" type="noConversion"/>
  </si>
  <si>
    <t>1-2层</t>
    <rPh sb="3" eb="4">
      <t>ceng</t>
    </rPh>
    <phoneticPr fontId="140" type="noConversion"/>
  </si>
  <si>
    <t>7A</t>
    <phoneticPr fontId="140" type="noConversion"/>
  </si>
  <si>
    <t>19B</t>
    <phoneticPr fontId="140" type="noConversion"/>
  </si>
  <si>
    <t xml:space="preserve">19C </t>
    <phoneticPr fontId="140" type="noConversion"/>
  </si>
  <si>
    <t>20A</t>
    <phoneticPr fontId="140" type="noConversion"/>
  </si>
  <si>
    <t>1层</t>
    <rPh sb="1" eb="2">
      <t>ceng</t>
    </rPh>
    <phoneticPr fontId="140" type="noConversion"/>
  </si>
  <si>
    <t>负1层</t>
    <rPh sb="0" eb="1">
      <t>fu</t>
    </rPh>
    <rPh sb="2" eb="3">
      <t>ceng</t>
    </rPh>
    <phoneticPr fontId="140" type="noConversion"/>
  </si>
  <si>
    <t>商业</t>
    <rPh sb="0" eb="1">
      <t>shang ye</t>
    </rPh>
    <phoneticPr fontId="7" type="noConversion"/>
  </si>
  <si>
    <t>成新度</t>
  </si>
  <si>
    <t>已包含在土地取得成本中</t>
  </si>
  <si>
    <t>未包含在土地购买价格中</t>
  </si>
  <si>
    <t>押一</t>
  </si>
  <si>
    <t>按租金收入计税</t>
  </si>
  <si>
    <t>钢混</t>
  </si>
  <si>
    <t>非生产用房</t>
  </si>
  <si>
    <t>-</t>
  </si>
  <si>
    <t>项目局部</t>
  </si>
  <si>
    <t>单价</t>
    <rPh sb="0" eb="1">
      <t>dan jia</t>
    </rPh>
    <phoneticPr fontId="140" type="noConversion"/>
  </si>
  <si>
    <t>总价</t>
    <rPh sb="0" eb="1">
      <t>zong jia</t>
    </rPh>
    <phoneticPr fontId="140" type="noConversion"/>
  </si>
  <si>
    <t>1#</t>
    <phoneticPr fontId="140" type="noConversion"/>
  </si>
  <si>
    <t>建筑总面积（不含人防）</t>
    <phoneticPr fontId="3" type="noConversion"/>
  </si>
  <si>
    <r>
      <t>其</t>
    </r>
    <r>
      <rPr>
        <sz val="10"/>
        <rFont val="Times New Roman"/>
        <family val="1"/>
      </rPr>
      <t xml:space="preserve">  </t>
    </r>
    <r>
      <rPr>
        <sz val="10"/>
        <rFont val="宋体"/>
        <family val="3"/>
        <charset val="134"/>
      </rPr>
      <t>中</t>
    </r>
    <phoneticPr fontId="3" type="noConversion"/>
  </si>
  <si>
    <r>
      <t xml:space="preserve">地上主体面积 </t>
    </r>
    <r>
      <rPr>
        <vertAlign val="superscript"/>
        <sz val="10"/>
        <rFont val="宋体"/>
        <family val="3"/>
        <charset val="134"/>
      </rPr>
      <t xml:space="preserve"> </t>
    </r>
    <phoneticPr fontId="3" type="noConversion"/>
  </si>
  <si>
    <t xml:space="preserve">地下面积 </t>
    <phoneticPr fontId="3" type="noConversion"/>
  </si>
  <si>
    <t xml:space="preserve">屋面附属用房面积 </t>
    <phoneticPr fontId="3" type="noConversion"/>
  </si>
  <si>
    <t>车位</t>
    <rPh sb="0" eb="1">
      <t>ceh wei</t>
    </rPh>
    <phoneticPr fontId="140" type="noConversion"/>
  </si>
  <si>
    <t>非配套公建</t>
    <rPh sb="0" eb="1">
      <t>fei pei tao</t>
    </rPh>
    <rPh sb="3" eb="4">
      <t>gong jian</t>
    </rPh>
    <phoneticPr fontId="140" type="noConversion"/>
  </si>
  <si>
    <t>房屋用途</t>
    <rPh sb="0" eb="1">
      <t>fang wu</t>
    </rPh>
    <rPh sb="2" eb="3">
      <t>yong tu</t>
    </rPh>
    <phoneticPr fontId="140" type="noConversion"/>
  </si>
  <si>
    <t>套数</t>
    <rPh sb="0" eb="1">
      <t>tao shu</t>
    </rPh>
    <phoneticPr fontId="140" type="noConversion"/>
  </si>
  <si>
    <t>建筑面积</t>
    <rPh sb="0" eb="1">
      <t>jian zhu mian ji</t>
    </rPh>
    <phoneticPr fontId="140" type="noConversion"/>
  </si>
  <si>
    <t>公寓</t>
    <rPh sb="0" eb="1">
      <t>gong yu</t>
    </rPh>
    <phoneticPr fontId="140" type="noConversion"/>
  </si>
  <si>
    <t>总计</t>
    <rPh sb="0" eb="1">
      <t>zong ji</t>
    </rPh>
    <phoneticPr fontId="140" type="noConversion"/>
  </si>
  <si>
    <t>层  次</t>
  </si>
  <si>
    <t>01</t>
  </si>
  <si>
    <t>02</t>
  </si>
  <si>
    <t>2#</t>
    <phoneticPr fontId="140" type="noConversion"/>
  </si>
  <si>
    <t xml:space="preserve">另有人防面积 </t>
    <phoneticPr fontId="3" type="noConversion"/>
  </si>
  <si>
    <t>地上层数</t>
    <phoneticPr fontId="3" type="noConversion"/>
  </si>
  <si>
    <t>地下层数</t>
    <phoneticPr fontId="3" type="noConversion"/>
  </si>
  <si>
    <t>3</t>
  </si>
  <si>
    <t>33</t>
  </si>
  <si>
    <t>配套公建</t>
    <rPh sb="2" eb="3">
      <t>gong jian</t>
    </rPh>
    <phoneticPr fontId="140" type="noConversion"/>
  </si>
  <si>
    <t>住宅</t>
    <rPh sb="0" eb="1">
      <t>zhu zahi</t>
    </rPh>
    <phoneticPr fontId="140" type="noConversion"/>
  </si>
  <si>
    <t>总计</t>
    <rPh sb="0" eb="1">
      <t>zng ji</t>
    </rPh>
    <phoneticPr fontId="140" type="noConversion"/>
  </si>
  <si>
    <t>含人防1898.51平方米</t>
  </si>
  <si>
    <t>备    注</t>
    <phoneticPr fontId="3" type="noConversion"/>
  </si>
  <si>
    <t>3#</t>
    <phoneticPr fontId="140" type="noConversion"/>
  </si>
  <si>
    <r>
      <t>建筑总面积</t>
    </r>
    <r>
      <rPr>
        <sz val="10"/>
        <rFont val="宋体"/>
        <family val="3"/>
        <charset val="134"/>
      </rPr>
      <t>（含人防）</t>
    </r>
    <phoneticPr fontId="3" type="noConversion"/>
  </si>
  <si>
    <t xml:space="preserve">人防面积 </t>
    <phoneticPr fontId="3" type="noConversion"/>
  </si>
  <si>
    <t>12</t>
  </si>
  <si>
    <t xml:space="preserve">备注： "位于本楼地下二层的本楼超市、车库、管理用房、商业、住宅共同分摊的中水机房、报警阀室251.28平方米,本楼分得0.00平方米"
"位于本楼地下一层的本楼超市、车库、商业共同分摊的5#变配电室447.97平方米,本楼分得0.00平方米"
"位于1号楼、2号楼、3号楼、院街的本楼超市、车库、管理用房、商业、住宅共同分摊的1号楼、2号楼、3号楼、院街、超市、车库、公交场站、美术馆共有1821.14平方米,本楼分得201.49平方米"
"位于2号楼地下三层的本楼超市、管理用房、商业、住宅共同分摊的热交换站、生活水池及泵房934.00平方米,本楼分得120.76平方米"
"位于2号楼、3号楼地下一层的本楼超市、车库、商业共同分摊的2号变配电室、5号变配电室963.40平方米,本楼分得59.40平方米"
"位于2号楼地下三层的本楼超市、商业共同分摊的空调机房260.86平方米,本楼分得21.34平方米"
"位于院街的本楼超市、车库共同分摊的1号出口、2号出口、16号出口、19号出口、21号出口、1号卫生间、2号卫生间、6号卫生间768.22平方米,本楼分得24.17平方米"
本楼建筑面积29809.68平米，从本楼分摊出公用建筑面积699.25平米
</t>
    <phoneticPr fontId="3" type="noConversion"/>
  </si>
  <si>
    <t>含人防2129.07平方米</t>
  </si>
  <si>
    <t>7#</t>
    <phoneticPr fontId="140" type="noConversion"/>
  </si>
  <si>
    <t>0</t>
  </si>
  <si>
    <t>车位</t>
    <rPh sb="0" eb="1">
      <t>che wei</t>
    </rPh>
    <phoneticPr fontId="140" type="noConversion"/>
  </si>
  <si>
    <t>总计</t>
    <rPh sb="0" eb="1">
      <t>zon ji g</t>
    </rPh>
    <phoneticPr fontId="140" type="noConversion"/>
  </si>
  <si>
    <t>含人防18128.10平方米</t>
  </si>
  <si>
    <t>其中有人防面积214.90平方米实际所在层为01层,含人防332.54平方米</t>
  </si>
  <si>
    <t>土地面积</t>
    <rPh sb="0" eb="1">
      <t>tu di mian ji</t>
    </rPh>
    <phoneticPr fontId="140" type="noConversion"/>
  </si>
  <si>
    <t>建筑面积</t>
    <rPh sb="0" eb="1">
      <t>jian zhu mi a ji</t>
    </rPh>
    <rPh sb="2" eb="3">
      <t>mian ji</t>
    </rPh>
    <phoneticPr fontId="140" type="noConversion"/>
  </si>
  <si>
    <t>地上建筑面积</t>
    <rPh sb="0" eb="1">
      <t>di hsang</t>
    </rPh>
    <rPh sb="2" eb="3">
      <t>jian zhu min ji</t>
    </rPh>
    <rPh sb="4" eb="5">
      <t>mian ji</t>
    </rPh>
    <phoneticPr fontId="140" type="noConversion"/>
  </si>
  <si>
    <t>租金</t>
  </si>
  <si>
    <t>苹果社区北区</t>
    <rPh sb="0" eb="1">
      <t>ping guo she qu</t>
    </rPh>
    <rPh sb="4" eb="5">
      <t>bei qu</t>
    </rPh>
    <phoneticPr fontId="3" type="noConversion"/>
  </si>
  <si>
    <t>百子湾路32号</t>
    <rPh sb="0" eb="1">
      <t>bai zi wan lu</t>
    </rPh>
    <rPh sb="6" eb="7">
      <t>hao</t>
    </rPh>
    <phoneticPr fontId="3" type="noConversion"/>
  </si>
  <si>
    <t>正常</t>
  </si>
  <si>
    <t>商业</t>
    <rPh sb="0" eb="1">
      <t>shang ye</t>
    </rPh>
    <phoneticPr fontId="31" type="noConversion"/>
  </si>
  <si>
    <t>20-30（含）</t>
  </si>
  <si>
    <t>6号院</t>
    <rPh sb="1" eb="2">
      <t>hao yuan</t>
    </rPh>
    <phoneticPr fontId="140" type="noConversion"/>
  </si>
  <si>
    <t>建筑面积租金比例</t>
    <rPh sb="0" eb="1">
      <t>jian zhu</t>
    </rPh>
    <rPh sb="2" eb="3">
      <t>mian ji</t>
    </rPh>
    <rPh sb="4" eb="5">
      <t>zu jin</t>
    </rPh>
    <rPh sb="6" eb="7">
      <t>bi li</t>
    </rPh>
    <phoneticPr fontId="140" type="noConversion"/>
  </si>
  <si>
    <t>套内面积租金比例</t>
    <rPh sb="0" eb="1">
      <t>tao nei</t>
    </rPh>
    <rPh sb="2" eb="3">
      <t>mian ji</t>
    </rPh>
    <rPh sb="4" eb="5">
      <t>zu jin</t>
    </rPh>
    <rPh sb="6" eb="7">
      <t>bi li</t>
    </rPh>
    <phoneticPr fontId="140" type="noConversion"/>
  </si>
  <si>
    <t>市场租金案例</t>
    <rPh sb="0" eb="1">
      <t>shi chang zu jin</t>
    </rPh>
    <rPh sb="4" eb="5">
      <t>an li</t>
    </rPh>
    <phoneticPr fontId="140" type="noConversion"/>
  </si>
  <si>
    <t>平均值</t>
    <rPh sb="0" eb="1">
      <t>ping jun zhi</t>
    </rPh>
    <phoneticPr fontId="140" type="noConversion"/>
  </si>
  <si>
    <t>租约统计</t>
    <rPh sb="0" eb="1">
      <t>zu yue</t>
    </rPh>
    <rPh sb="2" eb="3">
      <t>tong ji</t>
    </rPh>
    <phoneticPr fontId="140" type="noConversion"/>
  </si>
  <si>
    <t>楼层修正系数</t>
    <rPh sb="0" eb="1">
      <t>lou ceng xiu zheng</t>
    </rPh>
    <rPh sb="4" eb="5">
      <t>xi shu</t>
    </rPh>
    <phoneticPr fontId="140" type="noConversion"/>
  </si>
  <si>
    <t>价格</t>
    <rPh sb="0" eb="1">
      <t>jia ge</t>
    </rPh>
    <phoneticPr fontId="140" type="noConversion"/>
  </si>
  <si>
    <t>建筑面积</t>
    <rPh sb="0" eb="1">
      <t>jian zhu</t>
    </rPh>
    <rPh sb="2" eb="3">
      <t>mian ji</t>
    </rPh>
    <phoneticPr fontId="140" type="noConversion"/>
  </si>
  <si>
    <t>平均售价</t>
    <rPh sb="0" eb="1">
      <t>ping jun shou ia</t>
    </rPh>
    <rPh sb="2" eb="3">
      <t>shou jia</t>
    </rPh>
    <phoneticPr fontId="140" type="noConversion"/>
  </si>
  <si>
    <t>小计</t>
    <rPh sb="0" eb="1">
      <t>xiao ji</t>
    </rPh>
    <rPh sb="1" eb="2">
      <t>ji suan</t>
    </rPh>
    <phoneticPr fontId="140" type="noConversion"/>
  </si>
  <si>
    <t>合计</t>
    <rPh sb="0" eb="1">
      <t>he ji</t>
    </rPh>
    <phoneticPr fontId="140" type="noConversion"/>
  </si>
  <si>
    <t>1#</t>
    <phoneticPr fontId="140" type="noConversion"/>
  </si>
  <si>
    <t>2#</t>
    <phoneticPr fontId="140" type="noConversion"/>
  </si>
  <si>
    <t>3#</t>
    <phoneticPr fontId="140" type="noConversion"/>
  </si>
  <si>
    <t>7#</t>
    <phoneticPr fontId="140" type="noConversion"/>
  </si>
  <si>
    <t>楼号</t>
    <rPh sb="0" eb="1">
      <t>lou hao</t>
    </rPh>
    <phoneticPr fontId="140" type="noConversion"/>
  </si>
  <si>
    <t>评估值</t>
    <rPh sb="0" eb="1">
      <t>ping gu zh</t>
    </rPh>
    <phoneticPr fontId="140" type="noConversion"/>
  </si>
  <si>
    <t>收费</t>
    <rPh sb="0" eb="1">
      <t>shou fei</t>
    </rPh>
    <phoneticPr fontId="140" type="noConversion"/>
  </si>
  <si>
    <t>商业</t>
    <rPh sb="0" eb="1">
      <t>shang ye</t>
    </rPh>
    <phoneticPr fontId="140" type="noConversion"/>
  </si>
  <si>
    <t>建筑面积平均租金</t>
    <rPh sb="0" eb="1">
      <t>jian zhu</t>
    </rPh>
    <rPh sb="2" eb="3">
      <t>mian ji</t>
    </rPh>
    <rPh sb="4" eb="5">
      <t>ping jun</t>
    </rPh>
    <rPh sb="6" eb="7">
      <t>zu jin</t>
    </rPh>
    <phoneticPr fontId="140" type="noConversion"/>
  </si>
  <si>
    <t>套内面积平均租金</t>
    <rPh sb="0" eb="1">
      <t>tao nei</t>
    </rPh>
    <rPh sb="4" eb="5">
      <t>ping jun zu jin</t>
    </rPh>
    <phoneticPr fontId="140" type="noConversion"/>
  </si>
  <si>
    <t>楼层</t>
    <rPh sb="0" eb="1">
      <t>lou ceng</t>
    </rPh>
    <phoneticPr fontId="140" type="noConversion"/>
  </si>
  <si>
    <t>测算结果</t>
    <rPh sb="0" eb="1">
      <t>ce suan</t>
    </rPh>
    <rPh sb="2" eb="3">
      <t>jie guo</t>
    </rPh>
    <phoneticPr fontId="140" type="noConversion"/>
  </si>
  <si>
    <t>租金</t>
    <rPh sb="0" eb="1">
      <t>zu jin</t>
    </rPh>
    <phoneticPr fontId="140" type="noConversion"/>
  </si>
  <si>
    <t>总值收费</t>
    <rPh sb="0" eb="1">
      <t>zong zhi</t>
    </rPh>
    <rPh sb="1" eb="2">
      <t>zhi</t>
    </rPh>
    <rPh sb="2" eb="3">
      <t>shou fei</t>
    </rPh>
    <phoneticPr fontId="140" type="noConversion"/>
  </si>
  <si>
    <t>2#1-2层</t>
    <rPh sb="5" eb="6">
      <t>ceng</t>
    </rPh>
    <phoneticPr fontId="140" type="noConversion"/>
  </si>
  <si>
    <t>3#1-2层</t>
    <rPh sb="5" eb="6">
      <t>ceng</t>
    </rPh>
    <phoneticPr fontId="140" type="noConversion"/>
  </si>
  <si>
    <t>全部缴纳</t>
  </si>
  <si>
    <t>23</t>
    <phoneticPr fontId="140" type="noConversion"/>
  </si>
  <si>
    <t>商业街内</t>
    <rPh sb="0" eb="1">
      <t>sahng ye jie</t>
    </rPh>
    <rPh sb="3" eb="4">
      <t>nei</t>
    </rPh>
    <phoneticPr fontId="140" type="noConversion"/>
  </si>
  <si>
    <t>临路</t>
    <rPh sb="0" eb="1">
      <t>lin</t>
    </rPh>
    <rPh sb="1" eb="2">
      <t>lu</t>
    </rPh>
    <phoneticPr fontId="140" type="noConversion"/>
  </si>
  <si>
    <t>建筑面积</t>
    <rPh sb="0" eb="1">
      <t>jian zhu mian ji</t>
    </rPh>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</si>
</sst>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409]mmm/yy;@"/>
    <numFmt numFmtId="199" formatCode="0.0000_);[Red]\(0.0000\)"/>
  </numFmts>
  <fonts count="270" x14ac:knownFonts="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Times New Roman"/>
      <family val="1"/>
    </font>
    <font>
      <b/>
      <sz val="22"/>
      <name val="宋体"/>
      <family val="3"/>
      <charset val="134"/>
    </font>
    <font>
      <sz val="11"/>
      <color theme="1"/>
      <name val="Times New Roman"/>
      <family val="1"/>
    </font>
    <font>
      <b/>
      <sz val="10"/>
      <name val="DengXian"/>
      <family val="3"/>
      <charset val="134"/>
      <scheme val="minor"/>
    </font>
    <font>
      <b/>
      <sz val="10"/>
      <color rgb="FFFF0000"/>
      <name val="DengXian"/>
      <family val="3"/>
      <charset val="134"/>
      <scheme val="minor"/>
    </font>
    <font>
      <sz val="10"/>
      <name val="DengXian"/>
      <family val="3"/>
      <charset val="134"/>
      <scheme val="minor"/>
    </font>
    <font>
      <b/>
      <sz val="9"/>
      <name val="宋体"/>
      <family val="3"/>
      <charset val="134"/>
    </font>
    <font>
      <b/>
      <sz val="9"/>
      <name val="Tahoma"/>
      <family val="2"/>
    </font>
    <font>
      <sz val="9"/>
      <name val="Tahoma"/>
      <family val="2"/>
    </font>
    <font>
      <sz val="10"/>
      <color rgb="FFFF0000"/>
      <name val="DengXian"/>
      <family val="3"/>
      <charset val="134"/>
      <scheme val="minor"/>
    </font>
    <font>
      <sz val="11"/>
      <color rgb="FFFF0000"/>
      <name val="DengXian"/>
      <family val="3"/>
      <charset val="134"/>
      <scheme val="minor"/>
    </font>
    <font>
      <b/>
      <sz val="11"/>
      <color indexed="81"/>
      <name val="ＭＳ Ｐゴシック"/>
      <family val="2"/>
      <charset val="128"/>
    </font>
    <font>
      <vertAlign val="superscript"/>
      <sz val="10"/>
      <name val="宋体"/>
      <family val="3"/>
      <charset val="134"/>
    </font>
    <font>
      <sz val="11"/>
      <name val="DengXian"/>
      <family val="4"/>
      <charset val="134"/>
      <scheme val="minor"/>
    </font>
    <font>
      <sz val="11"/>
      <color indexed="81"/>
      <name val="ＭＳ Ｐゴシック"/>
      <family val="2"/>
      <charset val="128"/>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rgb="FFFFC000"/>
        <bgColor indexed="64"/>
      </patternFill>
    </fill>
    <fill>
      <patternFill patternType="solid">
        <fgColor theme="4" tint="0.39997558519241921"/>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s>
  <cellStyleXfs count="64">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98"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98" fillId="0" borderId="0" xfId="0" applyFont="1" applyAlignment="1">
      <alignment horizontal="center" vertical="center"/>
    </xf>
    <xf numFmtId="0" fontId="0" fillId="0" borderId="0" xfId="0" applyAlignment="1">
      <alignment horizontal="center" vertical="center"/>
    </xf>
    <xf numFmtId="49" fontId="98" fillId="0" borderId="0" xfId="0" applyNumberFormat="1" applyFont="1" applyAlignment="1">
      <alignment horizontal="center" vertical="center"/>
    </xf>
    <xf numFmtId="49" fontId="0" fillId="0" borderId="0" xfId="0" applyNumberFormat="1" applyAlignment="1">
      <alignment horizontal="center" vertical="center"/>
    </xf>
    <xf numFmtId="14" fontId="0" fillId="0" borderId="0" xfId="0" applyNumberFormat="1" applyAlignment="1">
      <alignment horizontal="center" vertical="center"/>
    </xf>
    <xf numFmtId="49" fontId="255" fillId="0" borderId="1" xfId="0" applyNumberFormat="1" applyFont="1" applyBorder="1" applyAlignment="1">
      <alignment horizontal="center" vertical="center" wrapText="1"/>
    </xf>
    <xf numFmtId="49" fontId="19" fillId="0" borderId="1" xfId="0" applyNumberFormat="1" applyFont="1" applyBorder="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lignment vertical="center"/>
    </xf>
    <xf numFmtId="0" fontId="19" fillId="0" borderId="0" xfId="0" applyFont="1" applyAlignment="1"/>
    <xf numFmtId="0" fontId="37" fillId="0" borderId="0" xfId="0" applyFont="1" applyAlignment="1"/>
    <xf numFmtId="179" fontId="255" fillId="0" borderId="1" xfId="0" applyNumberFormat="1" applyFont="1" applyBorder="1" applyAlignment="1">
      <alignment horizontal="center" vertical="center" wrapText="1"/>
    </xf>
    <xf numFmtId="49" fontId="0" fillId="0" borderId="1" xfId="0" applyNumberFormat="1" applyBorder="1" applyAlignment="1">
      <alignment horizontal="center" vertical="center" wrapText="1"/>
    </xf>
    <xf numFmtId="2" fontId="255" fillId="0" borderId="1" xfId="0" applyNumberFormat="1" applyFont="1" applyBorder="1" applyAlignment="1">
      <alignment horizontal="center" vertical="center" wrapText="1"/>
    </xf>
    <xf numFmtId="0" fontId="0" fillId="0" borderId="1" xfId="0" applyBorder="1" applyAlignment="1"/>
    <xf numFmtId="179" fontId="257" fillId="0" borderId="1" xfId="0" applyNumberFormat="1" applyFont="1" applyBorder="1" applyAlignment="1"/>
    <xf numFmtId="0" fontId="0" fillId="0" borderId="1" xfId="0" applyFont="1" applyBorder="1" applyAlignment="1" applyProtection="1">
      <alignment horizontal="left" vertical="center"/>
      <protection locked="0"/>
    </xf>
    <xf numFmtId="0" fontId="98" fillId="0" borderId="0" xfId="0" applyFont="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258" fillId="7" borderId="0" xfId="0" applyFont="1" applyFill="1" applyAlignment="1">
      <alignment horizontal="center" vertical="center"/>
    </xf>
    <xf numFmtId="0" fontId="258" fillId="7" borderId="0" xfId="0" applyFont="1" applyFill="1" applyAlignment="1">
      <alignment horizontal="center" vertical="center" wrapText="1"/>
    </xf>
    <xf numFmtId="0" fontId="19" fillId="20" borderId="1" xfId="0" applyFont="1" applyFill="1" applyBorder="1" applyAlignment="1">
      <alignment horizontal="center" vertical="center" wrapText="1"/>
    </xf>
    <xf numFmtId="49" fontId="19" fillId="20" borderId="1" xfId="0" applyNumberFormat="1" applyFont="1" applyFill="1" applyBorder="1" applyAlignment="1">
      <alignment horizontal="center" vertical="center" wrapText="1" shrinkToFit="1"/>
    </xf>
    <xf numFmtId="197" fontId="19" fillId="20" borderId="1" xfId="0" applyNumberFormat="1" applyFont="1" applyFill="1" applyBorder="1" applyAlignment="1">
      <alignment horizontal="right" vertical="center" wrapText="1"/>
    </xf>
    <xf numFmtId="197" fontId="135" fillId="20" borderId="1" xfId="0" applyNumberFormat="1" applyFont="1" applyFill="1" applyBorder="1" applyAlignment="1">
      <alignment horizontal="right" vertical="center" wrapText="1"/>
    </xf>
    <xf numFmtId="0" fontId="19" fillId="20" borderId="1" xfId="0" applyFont="1" applyFill="1" applyBorder="1" applyAlignment="1">
      <alignment horizontal="left" vertical="center" wrapText="1"/>
    </xf>
    <xf numFmtId="40" fontId="19" fillId="20" borderId="1" xfId="0" applyNumberFormat="1" applyFont="1" applyFill="1" applyBorder="1" applyAlignment="1">
      <alignment vertical="center" wrapText="1"/>
    </xf>
    <xf numFmtId="14" fontId="19" fillId="20" borderId="1" xfId="0" applyNumberFormat="1" applyFont="1" applyFill="1" applyBorder="1" applyAlignment="1">
      <alignment vertical="center"/>
    </xf>
    <xf numFmtId="40" fontId="19" fillId="20" borderId="1" xfId="0" applyNumberFormat="1" applyFont="1" applyFill="1" applyBorder="1" applyAlignment="1">
      <alignment horizontal="right" vertical="center"/>
    </xf>
    <xf numFmtId="179" fontId="19" fillId="20" borderId="1" xfId="0" applyNumberFormat="1" applyFont="1" applyFill="1" applyBorder="1" applyAlignment="1">
      <alignment horizontal="right" vertical="center"/>
    </xf>
    <xf numFmtId="0" fontId="19" fillId="20" borderId="0" xfId="0" applyFont="1" applyFill="1" applyBorder="1" applyAlignment="1">
      <alignment vertical="center"/>
    </xf>
    <xf numFmtId="197" fontId="19" fillId="20" borderId="1" xfId="0" applyNumberFormat="1" applyFont="1" applyFill="1" applyBorder="1" applyAlignment="1">
      <alignment vertical="center" wrapText="1"/>
    </xf>
    <xf numFmtId="0" fontId="19" fillId="20" borderId="1" xfId="0" applyFont="1" applyFill="1" applyBorder="1" applyAlignment="1">
      <alignment vertical="center" wrapText="1"/>
    </xf>
    <xf numFmtId="0" fontId="19" fillId="0" borderId="1" xfId="0" applyFont="1" applyFill="1" applyBorder="1" applyAlignment="1">
      <alignment horizontal="center" vertical="center" wrapText="1"/>
    </xf>
    <xf numFmtId="0" fontId="19" fillId="7"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shrinkToFit="1"/>
    </xf>
    <xf numFmtId="40" fontId="19" fillId="0" borderId="1" xfId="0" applyNumberFormat="1" applyFont="1" applyFill="1" applyBorder="1" applyAlignment="1">
      <alignment vertical="center" wrapText="1"/>
    </xf>
    <xf numFmtId="40" fontId="135" fillId="0" borderId="1" xfId="0" applyNumberFormat="1" applyFont="1" applyFill="1" applyBorder="1" applyAlignment="1">
      <alignment horizontal="right" vertical="center" wrapText="1"/>
    </xf>
    <xf numFmtId="0" fontId="19" fillId="0" borderId="1" xfId="0" applyFont="1" applyFill="1" applyBorder="1" applyAlignment="1">
      <alignment horizontal="left" vertical="center" wrapText="1"/>
    </xf>
    <xf numFmtId="14" fontId="19" fillId="0" borderId="1" xfId="0" applyNumberFormat="1" applyFont="1" applyFill="1" applyBorder="1" applyAlignment="1">
      <alignment vertical="center"/>
    </xf>
    <xf numFmtId="40" fontId="19" fillId="0" borderId="1" xfId="0" applyNumberFormat="1" applyFont="1" applyFill="1" applyBorder="1" applyAlignment="1">
      <alignment horizontal="right" vertical="center"/>
    </xf>
    <xf numFmtId="179" fontId="19" fillId="0" borderId="1" xfId="0" applyNumberFormat="1" applyFont="1" applyFill="1" applyBorder="1" applyAlignment="1">
      <alignment horizontal="right" vertical="center"/>
    </xf>
    <xf numFmtId="0" fontId="19" fillId="0" borderId="0" xfId="0" applyFont="1" applyFill="1" applyBorder="1" applyAlignment="1">
      <alignment vertical="center"/>
    </xf>
    <xf numFmtId="197" fontId="19" fillId="0" borderId="1" xfId="0" applyNumberFormat="1" applyFont="1" applyFill="1" applyBorder="1" applyAlignment="1">
      <alignment horizontal="right" vertical="center" wrapText="1"/>
    </xf>
    <xf numFmtId="197" fontId="135" fillId="0" borderId="1" xfId="0" applyNumberFormat="1" applyFont="1" applyFill="1" applyBorder="1" applyAlignment="1">
      <alignment horizontal="right" vertical="center" wrapText="1"/>
    </xf>
    <xf numFmtId="0" fontId="19" fillId="5" borderId="0" xfId="0" applyFont="1" applyFill="1" applyBorder="1" applyAlignment="1">
      <alignment vertical="center"/>
    </xf>
    <xf numFmtId="197" fontId="135" fillId="20" borderId="1" xfId="0" applyNumberFormat="1" applyFont="1" applyFill="1" applyBorder="1" applyAlignment="1">
      <alignment vertical="center" wrapText="1"/>
    </xf>
    <xf numFmtId="40" fontId="135" fillId="20" borderId="1" xfId="0" applyNumberFormat="1" applyFont="1" applyFill="1" applyBorder="1" applyAlignment="1">
      <alignment vertical="center" wrapText="1"/>
    </xf>
    <xf numFmtId="0" fontId="19" fillId="21" borderId="1" xfId="0" applyFont="1" applyFill="1" applyBorder="1" applyAlignment="1">
      <alignment horizontal="center" vertical="center" wrapText="1"/>
    </xf>
    <xf numFmtId="49" fontId="19" fillId="21" borderId="1" xfId="0" applyNumberFormat="1" applyFont="1" applyFill="1" applyBorder="1" applyAlignment="1">
      <alignment horizontal="center" vertical="center" wrapText="1" shrinkToFit="1"/>
    </xf>
    <xf numFmtId="40" fontId="19" fillId="21" borderId="1" xfId="0" applyNumberFormat="1" applyFont="1" applyFill="1" applyBorder="1" applyAlignment="1">
      <alignment vertical="center" wrapText="1"/>
    </xf>
    <xf numFmtId="40" fontId="135" fillId="21" borderId="1" xfId="0" applyNumberFormat="1" applyFont="1" applyFill="1" applyBorder="1" applyAlignment="1">
      <alignment horizontal="right" vertical="center" wrapText="1"/>
    </xf>
    <xf numFmtId="0" fontId="19" fillId="21" borderId="1" xfId="0" applyFont="1" applyFill="1" applyBorder="1" applyAlignment="1">
      <alignment horizontal="left" vertical="center" wrapText="1"/>
    </xf>
    <xf numFmtId="14" fontId="19" fillId="21" borderId="1" xfId="0" applyNumberFormat="1" applyFont="1" applyFill="1" applyBorder="1" applyAlignment="1">
      <alignment vertical="center"/>
    </xf>
    <xf numFmtId="40" fontId="19" fillId="21" borderId="1" xfId="0" applyNumberFormat="1" applyFont="1" applyFill="1" applyBorder="1" applyAlignment="1">
      <alignment horizontal="right" vertical="center"/>
    </xf>
    <xf numFmtId="179" fontId="19" fillId="21" borderId="1" xfId="0" applyNumberFormat="1" applyFont="1" applyFill="1" applyBorder="1" applyAlignment="1">
      <alignment horizontal="right" vertical="center"/>
    </xf>
    <xf numFmtId="0" fontId="19" fillId="21" borderId="0" xfId="0" applyFont="1" applyFill="1" applyBorder="1" applyAlignment="1">
      <alignment vertical="center"/>
    </xf>
    <xf numFmtId="0" fontId="19" fillId="20" borderId="0" xfId="0" applyFont="1" applyFill="1" applyBorder="1" applyAlignment="1">
      <alignment horizontal="left" vertical="center"/>
    </xf>
    <xf numFmtId="0" fontId="19" fillId="0" borderId="1" xfId="17" applyNumberFormat="1" applyFont="1" applyBorder="1" applyAlignment="1" applyProtection="1">
      <alignment horizontal="center" vertical="center" wrapText="1"/>
      <protection locked="0"/>
    </xf>
    <xf numFmtId="40" fontId="135" fillId="0" borderId="1" xfId="0" applyNumberFormat="1" applyFont="1" applyFill="1" applyBorder="1" applyAlignment="1">
      <alignment vertical="center" wrapText="1"/>
    </xf>
    <xf numFmtId="49" fontId="19" fillId="5" borderId="1" xfId="0" applyNumberFormat="1" applyFont="1" applyFill="1" applyBorder="1" applyAlignment="1">
      <alignment horizontal="center" vertical="center" wrapText="1" shrinkToFit="1"/>
    </xf>
    <xf numFmtId="197" fontId="19" fillId="0" borderId="1" xfId="0" applyNumberFormat="1" applyFont="1" applyFill="1" applyBorder="1" applyAlignment="1">
      <alignment vertical="center" wrapText="1"/>
    </xf>
    <xf numFmtId="197" fontId="135" fillId="0" borderId="1" xfId="0" applyNumberFormat="1" applyFont="1" applyFill="1" applyBorder="1" applyAlignment="1">
      <alignment vertical="center" wrapText="1"/>
    </xf>
    <xf numFmtId="0" fontId="19" fillId="0" borderId="1" xfId="0" applyFont="1" applyFill="1" applyBorder="1" applyAlignment="1">
      <alignment vertical="center" wrapText="1"/>
    </xf>
    <xf numFmtId="0" fontId="19" fillId="0" borderId="1" xfId="17" applyNumberFormat="1" applyFont="1" applyBorder="1" applyAlignment="1" applyProtection="1">
      <alignment horizontal="center" wrapText="1"/>
      <protection locked="0"/>
    </xf>
    <xf numFmtId="197" fontId="83" fillId="0" borderId="1" xfId="0" applyNumberFormat="1" applyFont="1" applyFill="1" applyBorder="1" applyAlignment="1">
      <alignment horizontal="right" vertical="center" wrapText="1"/>
    </xf>
    <xf numFmtId="197" fontId="135" fillId="0" borderId="13" xfId="0" applyNumberFormat="1" applyFont="1" applyFill="1" applyBorder="1" applyAlignment="1">
      <alignment horizontal="right" vertical="center" wrapText="1"/>
    </xf>
    <xf numFmtId="49" fontId="19" fillId="7" borderId="1" xfId="17" applyNumberFormat="1" applyFont="1" applyFill="1" applyBorder="1" applyAlignment="1" applyProtection="1">
      <alignment horizontal="center" vertical="center" wrapText="1"/>
    </xf>
    <xf numFmtId="49" fontId="19" fillId="7" borderId="1" xfId="0" applyNumberFormat="1" applyFont="1" applyFill="1" applyBorder="1" applyAlignment="1">
      <alignment horizontal="center" vertical="center" wrapText="1" shrinkToFit="1"/>
    </xf>
    <xf numFmtId="0" fontId="258" fillId="7" borderId="1" xfId="0" applyFont="1" applyFill="1" applyBorder="1" applyAlignment="1">
      <alignment vertical="center" wrapText="1"/>
    </xf>
    <xf numFmtId="179" fontId="258" fillId="7" borderId="1" xfId="0" applyNumberFormat="1" applyFont="1" applyFill="1" applyBorder="1" applyAlignment="1">
      <alignment vertical="center" wrapText="1"/>
    </xf>
    <xf numFmtId="0" fontId="259" fillId="0" borderId="1" xfId="0" applyFont="1" applyFill="1" applyBorder="1" applyAlignment="1">
      <alignment vertical="center" wrapText="1"/>
    </xf>
    <xf numFmtId="40" fontId="258" fillId="7" borderId="1" xfId="0" applyNumberFormat="1" applyFont="1" applyFill="1" applyBorder="1" applyAlignment="1">
      <alignment vertical="center"/>
    </xf>
    <xf numFmtId="0" fontId="260" fillId="7" borderId="0" xfId="0" applyFont="1" applyFill="1">
      <alignment vertical="center"/>
    </xf>
    <xf numFmtId="0" fontId="260" fillId="7" borderId="0" xfId="0" applyFont="1" applyFill="1" applyAlignment="1">
      <alignment vertical="center" wrapText="1"/>
    </xf>
    <xf numFmtId="40" fontId="260" fillId="7" borderId="0" xfId="0" applyNumberFormat="1" applyFont="1" applyFill="1" applyAlignment="1">
      <alignment vertical="center"/>
    </xf>
    <xf numFmtId="49" fontId="19" fillId="13" borderId="1" xfId="0" applyNumberFormat="1" applyFont="1" applyFill="1" applyBorder="1" applyAlignment="1">
      <alignment horizontal="center" vertical="center" wrapText="1"/>
    </xf>
    <xf numFmtId="49" fontId="19" fillId="15" borderId="1" xfId="0" applyNumberFormat="1" applyFont="1" applyFill="1" applyBorder="1" applyAlignment="1">
      <alignment horizontal="center" vertical="center" wrapText="1"/>
    </xf>
    <xf numFmtId="176" fontId="19" fillId="22" borderId="1" xfId="0" applyNumberFormat="1" applyFont="1" applyFill="1" applyBorder="1" applyAlignment="1">
      <alignment horizontal="center" vertical="center" wrapText="1"/>
    </xf>
    <xf numFmtId="14" fontId="19" fillId="20" borderId="1" xfId="0" applyNumberFormat="1" applyFont="1" applyFill="1" applyBorder="1" applyAlignment="1">
      <alignment horizontal="center" vertical="center"/>
    </xf>
    <xf numFmtId="176" fontId="135" fillId="20" borderId="1" xfId="0" applyNumberFormat="1" applyFont="1" applyFill="1" applyBorder="1" applyAlignment="1">
      <alignment horizontal="center" vertical="center"/>
    </xf>
    <xf numFmtId="176" fontId="260" fillId="20" borderId="1" xfId="0" applyNumberFormat="1" applyFont="1" applyFill="1" applyBorder="1" applyAlignment="1">
      <alignment horizontal="center" vertical="center" wrapText="1"/>
    </xf>
    <xf numFmtId="49" fontId="19" fillId="20" borderId="1" xfId="0" applyNumberFormat="1" applyFont="1" applyFill="1" applyBorder="1" applyAlignment="1">
      <alignment horizontal="center" vertical="center" wrapText="1"/>
    </xf>
    <xf numFmtId="49" fontId="19" fillId="22" borderId="1" xfId="0" applyNumberFormat="1" applyFont="1" applyFill="1" applyBorder="1" applyAlignment="1">
      <alignment horizontal="center" vertical="center" wrapText="1"/>
    </xf>
    <xf numFmtId="176" fontId="19" fillId="20" borderId="1" xfId="0" applyNumberFormat="1" applyFont="1" applyFill="1" applyBorder="1" applyAlignment="1">
      <alignment horizontal="center" vertical="center" wrapText="1"/>
    </xf>
    <xf numFmtId="176" fontId="260" fillId="22" borderId="1" xfId="0" applyNumberFormat="1" applyFont="1" applyFill="1" applyBorder="1" applyAlignment="1">
      <alignment horizontal="center" vertical="center" wrapText="1"/>
    </xf>
    <xf numFmtId="14" fontId="260" fillId="20" borderId="1" xfId="0" applyNumberFormat="1" applyFont="1" applyFill="1" applyBorder="1" applyAlignment="1">
      <alignment horizontal="center" vertical="center"/>
    </xf>
    <xf numFmtId="176" fontId="19" fillId="20" borderId="1" xfId="0" applyNumberFormat="1" applyFont="1" applyFill="1" applyBorder="1" applyAlignment="1">
      <alignment horizontal="center" vertical="center"/>
    </xf>
    <xf numFmtId="176" fontId="264" fillId="22" borderId="1" xfId="0" applyNumberFormat="1" applyFont="1" applyFill="1" applyBorder="1" applyAlignment="1">
      <alignment horizontal="center" vertical="center" wrapText="1"/>
    </xf>
    <xf numFmtId="0" fontId="0" fillId="0" borderId="1" xfId="0" applyBorder="1" applyAlignment="1">
      <alignment horizontal="center" vertical="center"/>
    </xf>
    <xf numFmtId="176" fontId="0" fillId="0" borderId="1" xfId="0" applyNumberFormat="1" applyBorder="1" applyAlignment="1">
      <alignment horizontal="center" vertical="center"/>
    </xf>
    <xf numFmtId="176" fontId="260" fillId="0" borderId="1" xfId="0" applyNumberFormat="1" applyFont="1" applyFill="1" applyBorder="1" applyAlignment="1">
      <alignment horizontal="center" vertical="center" wrapText="1"/>
    </xf>
    <xf numFmtId="0" fontId="0" fillId="22" borderId="1" xfId="0" applyFill="1" applyBorder="1" applyAlignment="1">
      <alignment horizontal="center" vertical="center"/>
    </xf>
    <xf numFmtId="179" fontId="0" fillId="20" borderId="1" xfId="0" applyNumberFormat="1" applyFill="1" applyBorder="1" applyAlignment="1">
      <alignment horizontal="center" vertical="center"/>
    </xf>
    <xf numFmtId="179" fontId="265" fillId="20" borderId="1" xfId="0" applyNumberFormat="1" applyFont="1" applyFill="1" applyBorder="1" applyAlignment="1">
      <alignment horizontal="center" vertical="center"/>
    </xf>
    <xf numFmtId="0" fontId="0" fillId="20" borderId="1" xfId="0" applyFill="1" applyBorder="1" applyAlignment="1">
      <alignment horizontal="center" vertical="center"/>
    </xf>
    <xf numFmtId="176" fontId="135" fillId="22" borderId="1" xfId="0" applyNumberFormat="1" applyFont="1" applyFill="1" applyBorder="1" applyAlignment="1">
      <alignment horizontal="center" vertical="center" wrapText="1"/>
    </xf>
    <xf numFmtId="40" fontId="19" fillId="22" borderId="1" xfId="0" applyNumberFormat="1" applyFont="1" applyFill="1" applyBorder="1" applyAlignment="1">
      <alignment horizontal="center" vertical="center" wrapText="1"/>
    </xf>
    <xf numFmtId="176" fontId="19" fillId="21" borderId="1" xfId="0" applyNumberFormat="1" applyFont="1" applyFill="1" applyBorder="1" applyAlignment="1">
      <alignment horizontal="center" vertical="center" wrapText="1"/>
    </xf>
    <xf numFmtId="179" fontId="46" fillId="6" borderId="23" xfId="0" applyNumberFormat="1" applyFont="1" applyFill="1" applyBorder="1" applyAlignment="1" applyProtection="1">
      <alignment horizontal="center" vertical="center"/>
    </xf>
    <xf numFmtId="49" fontId="19" fillId="0" borderId="1" xfId="0" applyNumberFormat="1" applyFont="1" applyFill="1" applyBorder="1" applyAlignment="1" applyProtection="1">
      <alignment horizontal="center" vertical="center"/>
    </xf>
    <xf numFmtId="176" fontId="19" fillId="0" borderId="1" xfId="0" applyNumberFormat="1" applyFont="1" applyFill="1" applyBorder="1" applyAlignment="1" applyProtection="1">
      <alignment horizontal="center" vertical="center"/>
    </xf>
    <xf numFmtId="49" fontId="79"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176" fontId="19" fillId="0" borderId="1" xfId="0" applyNumberFormat="1" applyFont="1" applyFill="1" applyBorder="1" applyAlignment="1" applyProtection="1">
      <alignment horizontal="center" vertical="center" shrinkToFit="1"/>
    </xf>
    <xf numFmtId="176" fontId="0" fillId="0" borderId="0" xfId="0" applyNumberFormat="1">
      <alignment vertical="center"/>
    </xf>
    <xf numFmtId="179" fontId="0" fillId="0" borderId="0" xfId="0" applyNumberFormat="1">
      <alignment vertical="center"/>
    </xf>
    <xf numFmtId="49" fontId="19" fillId="20" borderId="1" xfId="0" applyNumberFormat="1" applyFont="1" applyFill="1" applyBorder="1" applyAlignment="1">
      <alignment horizontal="center" vertical="center" wrapText="1"/>
    </xf>
    <xf numFmtId="49" fontId="19" fillId="22" borderId="1" xfId="0" applyNumberFormat="1" applyFont="1" applyFill="1" applyBorder="1" applyAlignment="1">
      <alignment horizontal="center" vertical="center" wrapText="1"/>
    </xf>
    <xf numFmtId="176" fontId="19" fillId="20" borderId="1" xfId="0" applyNumberFormat="1" applyFont="1" applyFill="1" applyBorder="1" applyAlignment="1">
      <alignment horizontal="center" vertical="center" wrapText="1"/>
    </xf>
    <xf numFmtId="0" fontId="0" fillId="0" borderId="5" xfId="0" applyBorder="1" applyAlignment="1">
      <alignment horizontal="center" vertical="center"/>
    </xf>
    <xf numFmtId="0" fontId="0" fillId="24" borderId="1" xfId="0" applyFill="1" applyBorder="1" applyAlignment="1">
      <alignment horizontal="center" vertical="center"/>
    </xf>
    <xf numFmtId="0" fontId="0" fillId="23" borderId="1" xfId="0" applyFill="1" applyBorder="1" applyAlignment="1">
      <alignment horizontal="center" vertical="center"/>
    </xf>
    <xf numFmtId="49" fontId="19" fillId="25" borderId="1" xfId="0" applyNumberFormat="1" applyFont="1" applyFill="1" applyBorder="1" applyAlignment="1">
      <alignment horizontal="center" vertical="center" wrapText="1"/>
    </xf>
    <xf numFmtId="0" fontId="0" fillId="25" borderId="1" xfId="0" applyFill="1" applyBorder="1" applyAlignment="1">
      <alignment horizontal="center" vertical="center"/>
    </xf>
    <xf numFmtId="176" fontId="19" fillId="25" borderId="1" xfId="0" applyNumberFormat="1" applyFont="1" applyFill="1" applyBorder="1" applyAlignment="1">
      <alignment horizontal="center" vertical="center" wrapText="1"/>
    </xf>
    <xf numFmtId="14" fontId="19" fillId="25" borderId="1" xfId="0" applyNumberFormat="1" applyFont="1" applyFill="1" applyBorder="1" applyAlignment="1">
      <alignment horizontal="center" vertical="center"/>
    </xf>
    <xf numFmtId="179" fontId="265" fillId="25" borderId="1" xfId="0" applyNumberFormat="1" applyFont="1" applyFill="1" applyBorder="1" applyAlignment="1">
      <alignment horizontal="center" vertical="center"/>
    </xf>
    <xf numFmtId="176" fontId="260" fillId="25" borderId="1" xfId="0" applyNumberFormat="1" applyFont="1" applyFill="1" applyBorder="1" applyAlignment="1">
      <alignment horizontal="center" vertical="center" wrapText="1"/>
    </xf>
    <xf numFmtId="0" fontId="0" fillId="7" borderId="1" xfId="0" applyFill="1" applyBorder="1" applyAlignment="1">
      <alignment horizontal="center" vertical="center"/>
    </xf>
    <xf numFmtId="199" fontId="0" fillId="24" borderId="1" xfId="0" applyNumberFormat="1" applyFont="1" applyFill="1" applyBorder="1" applyAlignment="1">
      <alignment horizontal="center" vertical="center"/>
    </xf>
    <xf numFmtId="0" fontId="0" fillId="0" borderId="0" xfId="0" applyFont="1" applyAlignment="1">
      <alignment horizontal="center" vertical="center"/>
    </xf>
    <xf numFmtId="199" fontId="0" fillId="0" borderId="0" xfId="0" applyNumberFormat="1" applyFont="1" applyAlignment="1">
      <alignment horizontal="center" vertical="center"/>
    </xf>
    <xf numFmtId="186" fontId="0" fillId="24" borderId="1" xfId="0" applyNumberFormat="1" applyFont="1" applyFill="1" applyBorder="1" applyAlignment="1">
      <alignment horizontal="center" vertical="center"/>
    </xf>
    <xf numFmtId="186" fontId="268" fillId="24" borderId="1" xfId="0" applyNumberFormat="1" applyFont="1" applyFill="1" applyBorder="1" applyAlignment="1">
      <alignment horizontal="center" vertical="center" wrapText="1"/>
    </xf>
    <xf numFmtId="0" fontId="0" fillId="0" borderId="0" xfId="0" applyFont="1" applyBorder="1" applyAlignment="1">
      <alignment horizontal="center" vertical="center"/>
    </xf>
    <xf numFmtId="0" fontId="0" fillId="24" borderId="1" xfId="0" applyFont="1" applyFill="1" applyBorder="1" applyAlignment="1">
      <alignment horizontal="center" vertical="center"/>
    </xf>
    <xf numFmtId="176" fontId="0" fillId="24" borderId="1" xfId="0" applyNumberFormat="1" applyFont="1" applyFill="1" applyBorder="1" applyAlignment="1">
      <alignment horizontal="center" vertical="center"/>
    </xf>
    <xf numFmtId="176" fontId="19" fillId="26" borderId="1" xfId="0" applyNumberFormat="1" applyFont="1" applyFill="1" applyBorder="1" applyAlignment="1">
      <alignment horizontal="center" vertical="center" wrapText="1"/>
    </xf>
    <xf numFmtId="189" fontId="0" fillId="24" borderId="1" xfId="0" applyNumberFormat="1" applyFill="1" applyBorder="1" applyAlignment="1">
      <alignment horizontal="center" vertical="center"/>
    </xf>
    <xf numFmtId="189" fontId="0" fillId="24" borderId="1" xfId="0" applyNumberFormat="1" applyFont="1" applyFill="1" applyBorder="1" applyAlignment="1">
      <alignment horizontal="center" vertical="center"/>
    </xf>
    <xf numFmtId="176" fontId="0" fillId="0" borderId="0" xfId="0" applyNumberFormat="1" applyFont="1" applyAlignment="1">
      <alignment horizontal="center" vertical="center"/>
    </xf>
    <xf numFmtId="0" fontId="0" fillId="0" borderId="13" xfId="0" applyFont="1" applyBorder="1" applyAlignment="1">
      <alignment horizontal="center" vertical="center"/>
    </xf>
    <xf numFmtId="186" fontId="0" fillId="0" borderId="13" xfId="0" applyNumberFormat="1" applyFont="1" applyBorder="1" applyAlignment="1">
      <alignment horizontal="center" vertical="center"/>
    </xf>
    <xf numFmtId="0" fontId="0" fillId="24" borderId="2" xfId="0" applyFont="1" applyFill="1" applyBorder="1" applyAlignment="1">
      <alignment horizontal="center" vertical="center"/>
    </xf>
    <xf numFmtId="199" fontId="0" fillId="24" borderId="2" xfId="0" applyNumberFormat="1" applyFont="1" applyFill="1" applyBorder="1" applyAlignment="1">
      <alignment horizontal="center" vertical="center"/>
    </xf>
    <xf numFmtId="0" fontId="0" fillId="17" borderId="1" xfId="0" applyFont="1" applyFill="1" applyBorder="1" applyAlignment="1">
      <alignment horizontal="center" vertical="center"/>
    </xf>
    <xf numFmtId="186" fontId="0" fillId="17" borderId="1" xfId="0" applyNumberFormat="1" applyFont="1" applyFill="1" applyBorder="1" applyAlignment="1">
      <alignment horizontal="center" vertical="center"/>
    </xf>
    <xf numFmtId="0" fontId="0" fillId="17" borderId="1" xfId="0" applyFill="1" applyBorder="1" applyAlignment="1">
      <alignment horizontal="center" vertical="center"/>
    </xf>
    <xf numFmtId="199" fontId="0" fillId="17" borderId="1" xfId="0" applyNumberFormat="1" applyFill="1" applyBorder="1" applyAlignment="1">
      <alignment horizontal="center" vertical="center"/>
    </xf>
    <xf numFmtId="186" fontId="0" fillId="0" borderId="1" xfId="0" applyNumberFormat="1" applyBorder="1" applyAlignment="1">
      <alignment horizontal="center" vertical="center"/>
    </xf>
    <xf numFmtId="177" fontId="0" fillId="0" borderId="1" xfId="0" applyNumberFormat="1" applyBorder="1" applyAlignment="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49" fontId="256" fillId="0" borderId="0" xfId="0" applyNumberFormat="1" applyFont="1" applyAlignment="1">
      <alignment horizontal="center" vertical="center"/>
    </xf>
    <xf numFmtId="49" fontId="19" fillId="0" borderId="1" xfId="0" applyNumberFormat="1" applyFont="1" applyBorder="1" applyAlignment="1">
      <alignment horizontal="center" vertical="center" wrapText="1"/>
    </xf>
    <xf numFmtId="49" fontId="19" fillId="0" borderId="0" xfId="0" applyNumberFormat="1" applyFont="1" applyAlignment="1">
      <alignment horizontal="left" vertical="center"/>
    </xf>
    <xf numFmtId="49" fontId="19" fillId="0" borderId="1" xfId="0" applyNumberFormat="1" applyFont="1" applyBorder="1" applyAlignment="1">
      <alignment horizontal="right" vertical="center" wrapText="1"/>
    </xf>
    <xf numFmtId="49" fontId="255" fillId="0" borderId="1" xfId="0" applyNumberFormat="1" applyFont="1" applyBorder="1" applyAlignment="1">
      <alignment horizontal="right" vertical="center" wrapText="1"/>
    </xf>
    <xf numFmtId="0" fontId="19" fillId="0" borderId="0" xfId="0" applyFont="1" applyAlignment="1">
      <alignment horizontal="left" vertical="center" wrapText="1"/>
    </xf>
    <xf numFmtId="0" fontId="258" fillId="7" borderId="60" xfId="0" applyFont="1" applyFill="1" applyBorder="1" applyAlignment="1">
      <alignment horizontal="center" vertical="center"/>
    </xf>
    <xf numFmtId="0" fontId="258" fillId="7" borderId="1" xfId="0" applyFont="1" applyFill="1" applyBorder="1" applyAlignment="1">
      <alignment horizontal="center" vertical="center" wrapText="1"/>
    </xf>
    <xf numFmtId="0" fontId="259" fillId="0" borderId="13" xfId="0" applyFont="1" applyFill="1" applyBorder="1" applyAlignment="1">
      <alignment horizontal="center" vertical="center" wrapText="1"/>
    </xf>
    <xf numFmtId="0" fontId="259" fillId="0" borderId="2" xfId="0" applyFont="1" applyFill="1" applyBorder="1" applyAlignment="1">
      <alignment horizontal="center" vertical="center" wrapText="1"/>
    </xf>
    <xf numFmtId="0" fontId="258" fillId="7" borderId="46" xfId="0" applyFont="1" applyFill="1" applyBorder="1" applyAlignment="1">
      <alignment horizontal="center" vertical="center" wrapText="1"/>
    </xf>
    <xf numFmtId="0" fontId="258" fillId="7" borderId="22" xfId="0" applyFont="1" applyFill="1" applyBorder="1" applyAlignment="1">
      <alignment horizontal="center" vertical="center" wrapText="1"/>
    </xf>
    <xf numFmtId="0" fontId="258" fillId="7" borderId="4" xfId="0" applyFont="1" applyFill="1" applyBorder="1" applyAlignment="1">
      <alignment horizontal="center" vertical="center" wrapText="1"/>
    </xf>
    <xf numFmtId="0" fontId="258" fillId="7" borderId="7" xfId="0" applyFont="1" applyFill="1" applyBorder="1" applyAlignment="1">
      <alignment horizontal="center" vertical="center" wrapText="1"/>
    </xf>
    <xf numFmtId="0" fontId="258" fillId="7" borderId="1" xfId="0" applyFont="1" applyFill="1" applyBorder="1" applyAlignment="1">
      <alignment horizontal="center" vertical="center"/>
    </xf>
    <xf numFmtId="40" fontId="258" fillId="7" borderId="1" xfId="0" applyNumberFormat="1" applyFont="1" applyFill="1" applyBorder="1" applyAlignment="1">
      <alignment horizontal="center" vertical="center" wrapText="1"/>
    </xf>
    <xf numFmtId="40" fontId="135" fillId="20" borderId="13" xfId="0" applyNumberFormat="1" applyFont="1" applyFill="1" applyBorder="1" applyAlignment="1">
      <alignment horizontal="right" vertical="center" wrapText="1"/>
    </xf>
    <xf numFmtId="40" fontId="135" fillId="20" borderId="2" xfId="0" applyNumberFormat="1" applyFont="1" applyFill="1" applyBorder="1" applyAlignment="1">
      <alignment horizontal="right" vertical="center" wrapText="1"/>
    </xf>
    <xf numFmtId="197" fontId="135" fillId="0" borderId="13" xfId="0" applyNumberFormat="1" applyFont="1" applyFill="1" applyBorder="1" applyAlignment="1">
      <alignment horizontal="right" vertical="center" wrapText="1"/>
    </xf>
    <xf numFmtId="197" fontId="135" fillId="0" borderId="2" xfId="0" applyNumberFormat="1" applyFont="1" applyFill="1" applyBorder="1" applyAlignment="1">
      <alignment horizontal="right" vertical="center" wrapText="1"/>
    </xf>
    <xf numFmtId="197" fontId="135" fillId="20" borderId="13" xfId="0" applyNumberFormat="1" applyFont="1" applyFill="1" applyBorder="1" applyAlignment="1">
      <alignment horizontal="right" vertical="center" wrapText="1"/>
    </xf>
    <xf numFmtId="197" fontId="135" fillId="20" borderId="15" xfId="0" applyNumberFormat="1" applyFont="1" applyFill="1" applyBorder="1" applyAlignment="1">
      <alignment horizontal="right" vertical="center" wrapText="1"/>
    </xf>
    <xf numFmtId="197" fontId="135" fillId="20" borderId="2" xfId="0" applyNumberFormat="1" applyFont="1" applyFill="1" applyBorder="1" applyAlignment="1">
      <alignment horizontal="right" vertical="center" wrapText="1"/>
    </xf>
    <xf numFmtId="197" fontId="135" fillId="0" borderId="15" xfId="0" applyNumberFormat="1" applyFont="1" applyFill="1" applyBorder="1" applyAlignment="1">
      <alignment horizontal="right" vertical="center" wrapText="1"/>
    </xf>
    <xf numFmtId="0" fontId="0" fillId="24" borderId="13" xfId="0" applyFill="1" applyBorder="1" applyAlignment="1">
      <alignment horizontal="center" vertical="center"/>
    </xf>
    <xf numFmtId="0" fontId="0" fillId="24" borderId="15" xfId="0" applyFill="1" applyBorder="1" applyAlignment="1">
      <alignment horizontal="center" vertical="center"/>
    </xf>
    <xf numFmtId="0" fontId="0" fillId="24" borderId="2" xfId="0" applyFill="1" applyBorder="1" applyAlignment="1">
      <alignment horizontal="center" vertical="center"/>
    </xf>
    <xf numFmtId="0" fontId="0" fillId="23" borderId="13" xfId="0" applyFill="1" applyBorder="1" applyAlignment="1">
      <alignment horizontal="center" vertical="center"/>
    </xf>
    <xf numFmtId="0" fontId="0" fillId="23" borderId="15" xfId="0" applyFill="1" applyBorder="1" applyAlignment="1">
      <alignment horizontal="center" vertical="center"/>
    </xf>
    <xf numFmtId="0" fontId="0" fillId="23" borderId="2" xfId="0" applyFill="1" applyBorder="1" applyAlignment="1">
      <alignment horizontal="center" vertical="center"/>
    </xf>
    <xf numFmtId="186" fontId="0" fillId="24" borderId="13" xfId="0" applyNumberFormat="1" applyFont="1" applyFill="1" applyBorder="1" applyAlignment="1">
      <alignment horizontal="center" vertical="center"/>
    </xf>
    <xf numFmtId="186" fontId="0" fillId="24" borderId="2" xfId="0" applyNumberFormat="1" applyFont="1" applyFill="1" applyBorder="1" applyAlignment="1">
      <alignment horizontal="center" vertical="center"/>
    </xf>
    <xf numFmtId="186" fontId="0" fillId="24" borderId="15" xfId="0" applyNumberFormat="1" applyFont="1" applyFill="1" applyBorder="1" applyAlignment="1">
      <alignment horizontal="center" vertical="center"/>
    </xf>
    <xf numFmtId="49" fontId="19" fillId="13" borderId="1" xfId="0" applyNumberFormat="1" applyFont="1" applyFill="1" applyBorder="1" applyAlignment="1">
      <alignment horizontal="center" vertical="center" wrapText="1"/>
    </xf>
    <xf numFmtId="49" fontId="19" fillId="20" borderId="1" xfId="0" applyNumberFormat="1" applyFont="1" applyFill="1" applyBorder="1" applyAlignment="1">
      <alignment horizontal="center" vertical="center" wrapText="1"/>
    </xf>
    <xf numFmtId="49" fontId="19" fillId="22" borderId="1" xfId="0" applyNumberFormat="1" applyFont="1" applyFill="1" applyBorder="1" applyAlignment="1">
      <alignment horizontal="center" vertical="center" wrapText="1"/>
    </xf>
    <xf numFmtId="176" fontId="19" fillId="20" borderId="1" xfId="0" applyNumberFormat="1" applyFont="1" applyFill="1" applyBorder="1" applyAlignment="1">
      <alignment horizontal="center" vertical="center" wrapText="1"/>
    </xf>
    <xf numFmtId="176" fontId="264" fillId="22" borderId="1" xfId="0" applyNumberFormat="1" applyFont="1" applyFill="1" applyBorder="1" applyAlignment="1">
      <alignment horizontal="center" vertical="center" wrapText="1"/>
    </xf>
    <xf numFmtId="176" fontId="135" fillId="22" borderId="13" xfId="0" applyNumberFormat="1" applyFont="1" applyFill="1" applyBorder="1" applyAlignment="1">
      <alignment horizontal="center" vertical="center" wrapText="1"/>
    </xf>
    <xf numFmtId="176" fontId="135" fillId="22" borderId="2" xfId="0" applyNumberFormat="1" applyFont="1" applyFill="1" applyBorder="1" applyAlignment="1">
      <alignment horizontal="center" vertical="center" wrapText="1"/>
    </xf>
    <xf numFmtId="176" fontId="264" fillId="22" borderId="13" xfId="0" applyNumberFormat="1" applyFont="1" applyFill="1" applyBorder="1" applyAlignment="1">
      <alignment horizontal="center" vertical="center" wrapText="1"/>
    </xf>
    <xf numFmtId="176" fontId="264" fillId="22" borderId="2" xfId="0" applyNumberFormat="1" applyFont="1" applyFill="1" applyBorder="1" applyAlignment="1">
      <alignment horizontal="center" vertical="center" wrapText="1"/>
    </xf>
    <xf numFmtId="176" fontId="260" fillId="20" borderId="13" xfId="0" applyNumberFormat="1" applyFont="1" applyFill="1" applyBorder="1" applyAlignment="1">
      <alignment horizontal="center" vertical="center" wrapText="1"/>
    </xf>
    <xf numFmtId="176" fontId="260" fillId="20" borderId="2" xfId="0" applyNumberFormat="1" applyFont="1" applyFill="1" applyBorder="1" applyAlignment="1">
      <alignment horizontal="center" vertical="center" wrapText="1"/>
    </xf>
    <xf numFmtId="0" fontId="0" fillId="20" borderId="13" xfId="0" applyFill="1" applyBorder="1" applyAlignment="1">
      <alignment horizontal="center" vertical="center"/>
    </xf>
    <xf numFmtId="0" fontId="0" fillId="20" borderId="2" xfId="0" applyFill="1" applyBorder="1" applyAlignment="1">
      <alignment horizontal="center" vertical="center"/>
    </xf>
    <xf numFmtId="0" fontId="0" fillId="22" borderId="13" xfId="0" applyFill="1" applyBorder="1" applyAlignment="1">
      <alignment horizontal="center" vertical="center"/>
    </xf>
    <xf numFmtId="0" fontId="0" fillId="22" borderId="2" xfId="0" applyFill="1" applyBorder="1" applyAlignment="1">
      <alignment horizontal="center" vertical="center"/>
    </xf>
    <xf numFmtId="176" fontId="19" fillId="22" borderId="13" xfId="0" applyNumberFormat="1" applyFont="1" applyFill="1" applyBorder="1" applyAlignment="1">
      <alignment horizontal="center" vertical="center" wrapText="1"/>
    </xf>
    <xf numFmtId="176" fontId="19" fillId="22" borderId="2" xfId="0" applyNumberFormat="1" applyFont="1" applyFill="1" applyBorder="1" applyAlignment="1">
      <alignment horizontal="center" vertical="center" wrapText="1"/>
    </xf>
    <xf numFmtId="176" fontId="19" fillId="22" borderId="15" xfId="0" applyNumberFormat="1" applyFont="1" applyFill="1" applyBorder="1" applyAlignment="1">
      <alignment horizontal="center" vertical="center" wrapText="1"/>
    </xf>
    <xf numFmtId="14" fontId="19" fillId="20" borderId="13" xfId="0" applyNumberFormat="1" applyFont="1" applyFill="1" applyBorder="1" applyAlignment="1">
      <alignment horizontal="center" vertical="center"/>
    </xf>
    <xf numFmtId="14" fontId="19" fillId="20" borderId="2" xfId="0" applyNumberFormat="1" applyFont="1" applyFill="1" applyBorder="1" applyAlignment="1">
      <alignment horizontal="center" vertical="center"/>
    </xf>
    <xf numFmtId="179" fontId="0" fillId="20" borderId="13" xfId="0" applyNumberFormat="1" applyFill="1" applyBorder="1" applyAlignment="1">
      <alignment horizontal="center" vertical="center"/>
    </xf>
    <xf numFmtId="179" fontId="0" fillId="20" borderId="2" xfId="0" applyNumberFormat="1" applyFill="1" applyBorder="1" applyAlignment="1">
      <alignment horizontal="center" vertical="center"/>
    </xf>
    <xf numFmtId="0" fontId="0" fillId="20" borderId="15" xfId="0" applyFill="1" applyBorder="1" applyAlignment="1">
      <alignment horizontal="center" vertical="center"/>
    </xf>
    <xf numFmtId="179" fontId="265" fillId="20" borderId="13" xfId="0" applyNumberFormat="1" applyFont="1" applyFill="1" applyBorder="1" applyAlignment="1">
      <alignment horizontal="center" vertical="center"/>
    </xf>
    <xf numFmtId="179" fontId="265" fillId="20" borderId="2" xfId="0" applyNumberFormat="1" applyFont="1" applyFill="1" applyBorder="1" applyAlignment="1">
      <alignment horizontal="center" vertical="center"/>
    </xf>
    <xf numFmtId="49" fontId="19" fillId="20" borderId="13" xfId="0" applyNumberFormat="1" applyFont="1" applyFill="1" applyBorder="1" applyAlignment="1">
      <alignment horizontal="center" vertical="center" wrapText="1"/>
    </xf>
    <xf numFmtId="49" fontId="19" fillId="20" borderId="15" xfId="0" applyNumberFormat="1" applyFont="1" applyFill="1" applyBorder="1" applyAlignment="1">
      <alignment horizontal="center" vertical="center" wrapText="1"/>
    </xf>
    <xf numFmtId="49" fontId="19" fillId="20" borderId="2" xfId="0" applyNumberFormat="1" applyFont="1" applyFill="1" applyBorder="1" applyAlignment="1">
      <alignment horizontal="center" vertical="center" wrapText="1"/>
    </xf>
    <xf numFmtId="176" fontId="19" fillId="26" borderId="13" xfId="0" applyNumberFormat="1" applyFont="1" applyFill="1" applyBorder="1" applyAlignment="1">
      <alignment horizontal="center" vertical="center" wrapText="1"/>
    </xf>
    <xf numFmtId="176" fontId="19" fillId="26" borderId="2" xfId="0" applyNumberFormat="1" applyFont="1" applyFill="1" applyBorder="1" applyAlignment="1">
      <alignment horizontal="center" vertical="center" wrapText="1"/>
    </xf>
    <xf numFmtId="0" fontId="0" fillId="21" borderId="13" xfId="0" applyFill="1" applyBorder="1" applyAlignment="1">
      <alignment horizontal="center" vertical="center"/>
    </xf>
    <xf numFmtId="0" fontId="0" fillId="21" borderId="15" xfId="0" applyFill="1" applyBorder="1" applyAlignment="1">
      <alignment horizontal="center" vertical="center"/>
    </xf>
    <xf numFmtId="0" fontId="0" fillId="21" borderId="2" xfId="0" applyFill="1" applyBorder="1" applyAlignment="1">
      <alignment horizontal="center" vertical="center"/>
    </xf>
    <xf numFmtId="176" fontId="19" fillId="20" borderId="13" xfId="0" applyNumberFormat="1" applyFont="1" applyFill="1" applyBorder="1" applyAlignment="1">
      <alignment horizontal="center" vertical="center" wrapText="1"/>
    </xf>
    <xf numFmtId="176" fontId="19" fillId="20" borderId="2" xfId="0" applyNumberFormat="1" applyFont="1" applyFill="1" applyBorder="1" applyAlignment="1">
      <alignment horizontal="center" vertical="center" wrapText="1"/>
    </xf>
    <xf numFmtId="176" fontId="19" fillId="26" borderId="15" xfId="0" applyNumberFormat="1" applyFont="1" applyFill="1" applyBorder="1" applyAlignment="1">
      <alignment horizontal="center" vertical="center" wrapText="1"/>
    </xf>
    <xf numFmtId="176" fontId="135" fillId="22" borderId="15" xfId="0" applyNumberFormat="1" applyFont="1" applyFill="1" applyBorder="1" applyAlignment="1">
      <alignment horizontal="center" vertical="center" wrapText="1"/>
    </xf>
    <xf numFmtId="0" fontId="0" fillId="0" borderId="0" xfId="0" applyFont="1" applyAlignment="1">
      <alignment horizontal="center" vertical="center" wrapText="1"/>
    </xf>
    <xf numFmtId="0" fontId="98" fillId="0" borderId="0" xfId="0" applyFont="1" applyAlignment="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9" fillId="0" borderId="46" xfId="0" applyFont="1" applyFill="1" applyBorder="1" applyAlignment="1" applyProtection="1">
      <alignment horizontal="center" vertical="center" wrapText="1"/>
    </xf>
    <xf numFmtId="0" fontId="0" fillId="0" borderId="22"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179" fontId="19" fillId="0" borderId="1" xfId="0" applyNumberFormat="1" applyFont="1" applyFill="1" applyBorder="1" applyAlignment="1" applyProtection="1">
      <alignment horizontal="center" vertical="center"/>
    </xf>
    <xf numFmtId="0" fontId="19" fillId="0" borderId="1" xfId="0" applyFont="1" applyFill="1" applyBorder="1" applyAlignment="1" applyProtection="1">
      <alignment horizontal="center" vertical="center"/>
    </xf>
    <xf numFmtId="49" fontId="19" fillId="0" borderId="1" xfId="0" applyNumberFormat="1" applyFont="1" applyFill="1" applyBorder="1" applyAlignment="1" applyProtection="1">
      <alignment horizontal="center" vertical="center"/>
    </xf>
    <xf numFmtId="0" fontId="19" fillId="0" borderId="22" xfId="0" applyFont="1" applyFill="1" applyBorder="1" applyAlignment="1" applyProtection="1">
      <alignment horizontal="center" vertical="center" wrapText="1"/>
    </xf>
    <xf numFmtId="0" fontId="19" fillId="0" borderId="4" xfId="0"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176" fontId="19" fillId="0" borderId="46" xfId="0" applyNumberFormat="1" applyFont="1" applyFill="1" applyBorder="1" applyAlignment="1" applyProtection="1">
      <alignment horizontal="center" vertical="center"/>
    </xf>
    <xf numFmtId="176" fontId="19" fillId="0" borderId="36" xfId="0" applyNumberFormat="1" applyFont="1" applyFill="1" applyBorder="1" applyAlignment="1" applyProtection="1">
      <alignment horizontal="center" vertical="center"/>
    </xf>
    <xf numFmtId="176" fontId="19" fillId="0" borderId="22" xfId="0" applyNumberFormat="1" applyFont="1" applyFill="1" applyBorder="1" applyAlignment="1" applyProtection="1">
      <alignment horizontal="center" vertical="center"/>
    </xf>
    <xf numFmtId="176" fontId="19" fillId="0" borderId="4" xfId="0" applyNumberFormat="1" applyFont="1" applyFill="1" applyBorder="1" applyAlignment="1" applyProtection="1">
      <alignment horizontal="center" vertical="center"/>
    </xf>
    <xf numFmtId="176" fontId="19" fillId="0" borderId="60" xfId="0" applyNumberFormat="1" applyFont="1" applyFill="1" applyBorder="1" applyAlignment="1" applyProtection="1">
      <alignment horizontal="center" vertical="center"/>
    </xf>
    <xf numFmtId="176" fontId="19" fillId="0" borderId="7" xfId="0" applyNumberFormat="1" applyFont="1" applyFill="1" applyBorder="1" applyAlignment="1" applyProtection="1">
      <alignment horizontal="center" vertical="center"/>
    </xf>
    <xf numFmtId="0" fontId="19" fillId="0" borderId="13" xfId="0" applyFont="1" applyFill="1" applyBorder="1" applyAlignment="1" applyProtection="1">
      <alignment horizontal="center" vertical="center" textRotation="255"/>
    </xf>
    <xf numFmtId="0" fontId="19" fillId="0" borderId="15" xfId="0" applyFont="1" applyFill="1" applyBorder="1" applyAlignment="1" applyProtection="1">
      <alignment horizontal="center" vertical="center" textRotation="255"/>
    </xf>
    <xf numFmtId="0" fontId="19" fillId="0" borderId="2" xfId="0" applyFont="1" applyFill="1" applyBorder="1" applyAlignment="1" applyProtection="1">
      <alignment horizontal="center" vertical="center" textRotation="255"/>
    </xf>
    <xf numFmtId="0" fontId="19" fillId="0" borderId="1" xfId="0" applyFont="1" applyFill="1" applyBorder="1" applyAlignment="1" applyProtection="1">
      <alignment horizontal="center" vertical="center" wrapText="1"/>
    </xf>
    <xf numFmtId="0" fontId="19" fillId="0" borderId="46" xfId="0" applyFont="1" applyFill="1" applyBorder="1" applyAlignment="1" applyProtection="1">
      <alignment vertical="top" wrapText="1"/>
    </xf>
    <xf numFmtId="0" fontId="0" fillId="0" borderId="36" xfId="0" applyFill="1" applyBorder="1" applyAlignment="1" applyProtection="1"/>
    <xf numFmtId="0" fontId="0" fillId="0" borderId="22" xfId="0" applyFill="1" applyBorder="1" applyAlignment="1" applyProtection="1"/>
    <xf numFmtId="0" fontId="0" fillId="0" borderId="58" xfId="0" applyFill="1" applyBorder="1" applyAlignment="1" applyProtection="1"/>
    <xf numFmtId="0" fontId="0" fillId="0" borderId="0" xfId="0" applyFill="1" applyAlignment="1" applyProtection="1"/>
    <xf numFmtId="0" fontId="0" fillId="0" borderId="35" xfId="0" applyFill="1" applyBorder="1" applyAlignment="1" applyProtection="1"/>
    <xf numFmtId="0" fontId="0" fillId="0" borderId="4" xfId="0" applyFill="1" applyBorder="1" applyAlignment="1" applyProtection="1"/>
    <xf numFmtId="0" fontId="0" fillId="0" borderId="60" xfId="0" applyFill="1" applyBorder="1" applyAlignment="1" applyProtection="1"/>
    <xf numFmtId="0" fontId="0" fillId="0" borderId="7" xfId="0" applyFill="1" applyBorder="1" applyAlignment="1" applyProtection="1"/>
    <xf numFmtId="0" fontId="19" fillId="0" borderId="1" xfId="0" applyFont="1" applyFill="1" applyBorder="1" applyAlignment="1" applyProtection="1">
      <alignment horizontal="center" vertical="center" textRotation="255"/>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98" fillId="6" borderId="0" xfId="0" applyFont="1" applyFill="1" applyBorder="1" applyAlignment="1" applyProtection="1">
      <alignment horizontal="center"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18" fillId="0" borderId="1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176" fontId="0" fillId="0" borderId="0" xfId="0" applyNumberFormat="1" applyAlignment="1">
      <alignment horizontal="center" vertical="center"/>
    </xf>
    <xf numFmtId="49" fontId="51" fillId="0" borderId="37" xfId="0" applyNumberFormat="1" applyFont="1" applyFill="1" applyBorder="1" applyAlignment="1" applyProtection="1">
      <alignment horizontal="center" vertical="center" wrapText="1"/>
      <protection locked="0"/>
    </xf>
  </cellXfs>
  <cellStyles count="64">
    <cellStyle name="百分比 2" xfId="14"/>
    <cellStyle name="常规" xfId="0" builtinId="0"/>
    <cellStyle name="常规 10" xfId="18"/>
    <cellStyle name="常规 10 2" xfId="17"/>
    <cellStyle name="常规 101" xfId="19"/>
    <cellStyle name="常规 107" xfId="20"/>
    <cellStyle name="常规 108" xfId="21"/>
    <cellStyle name="常规 110" xfId="22"/>
    <cellStyle name="常规 111" xfId="23"/>
    <cellStyle name="常规 112" xfId="24"/>
    <cellStyle name="常规 113" xfId="25"/>
    <cellStyle name="常规 114" xfId="26"/>
    <cellStyle name="常规 115" xfId="27"/>
    <cellStyle name="常规 116" xfId="28"/>
    <cellStyle name="常规 12" xfId="29"/>
    <cellStyle name="常规 13" xfId="30"/>
    <cellStyle name="常规 14" xfId="31"/>
    <cellStyle name="常规 15" xfId="32"/>
    <cellStyle name="常规 151" xfId="33"/>
    <cellStyle name="常规 152" xfId="34"/>
    <cellStyle name="常规 153" xfId="35"/>
    <cellStyle name="常规 156" xfId="36"/>
    <cellStyle name="常规 157" xfId="37"/>
    <cellStyle name="常规 158" xfId="38"/>
    <cellStyle name="常规 159" xfId="39"/>
    <cellStyle name="常规 16" xfId="10"/>
    <cellStyle name="常规 160" xfId="40"/>
    <cellStyle name="常规 161" xfId="41"/>
    <cellStyle name="常规 162" xfId="42"/>
    <cellStyle name="常规 163" xfId="43"/>
    <cellStyle name="常规 164" xfId="44"/>
    <cellStyle name="常规 165" xfId="45"/>
    <cellStyle name="常规 166" xfId="46"/>
    <cellStyle name="常规 167" xfId="47"/>
    <cellStyle name="常规 17" xfId="48"/>
    <cellStyle name="常规 170" xfId="49"/>
    <cellStyle name="常规 171" xfId="50"/>
    <cellStyle name="常规 175" xfId="51"/>
    <cellStyle name="常规 176" xfId="52"/>
    <cellStyle name="常规 177" xfId="53"/>
    <cellStyle name="常规 178" xfId="54"/>
    <cellStyle name="常规 179" xfId="55"/>
    <cellStyle name="常规 18" xfId="56"/>
    <cellStyle name="常规 180" xfId="57"/>
    <cellStyle name="常规 181" xfId="58"/>
    <cellStyle name="常规 182" xfId="59"/>
    <cellStyle name="常规 183" xfId="60"/>
    <cellStyle name="常规 184" xfId="61"/>
    <cellStyle name="常规 19" xfId="62"/>
    <cellStyle name="常规 2" xfId="1"/>
    <cellStyle name="常规 2 2" xfId="8"/>
    <cellStyle name="常规 2 2 2 2 3" xfId="15"/>
    <cellStyle name="常规 24" xfId="63"/>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63" Type="http://schemas.openxmlformats.org/officeDocument/2006/relationships/styles" Target="styles.xml"/><Relationship Id="rId64" Type="http://schemas.openxmlformats.org/officeDocument/2006/relationships/sharedStrings" Target="sharedStrings.xml"/><Relationship Id="rId65" Type="http://schemas.openxmlformats.org/officeDocument/2006/relationships/calcChain" Target="calcChain.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externalLink" Target="externalLinks/externalLink1.xml"/><Relationship Id="rId59" Type="http://schemas.openxmlformats.org/officeDocument/2006/relationships/externalLink" Target="externalLinks/externalLink2.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60" Type="http://schemas.openxmlformats.org/officeDocument/2006/relationships/externalLink" Target="externalLinks/externalLink3.xml"/><Relationship Id="rId61" Type="http://schemas.openxmlformats.org/officeDocument/2006/relationships/externalLink" Target="externalLinks/externalLink4.xml"/><Relationship Id="rId62" Type="http://schemas.openxmlformats.org/officeDocument/2006/relationships/theme" Target="theme/theme1.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4" Type="http://schemas.openxmlformats.org/officeDocument/2006/relationships/image" Target="../media/image7.png"/><Relationship Id="rId5" Type="http://schemas.openxmlformats.org/officeDocument/2006/relationships/image" Target="../media/image8.png"/><Relationship Id="rId6" Type="http://schemas.openxmlformats.org/officeDocument/2006/relationships/image" Target="../media/image9.png"/><Relationship Id="rId7" Type="http://schemas.openxmlformats.org/officeDocument/2006/relationships/image" Target="../media/image10.png"/><Relationship Id="rId8" Type="http://schemas.openxmlformats.org/officeDocument/2006/relationships/image" Target="../media/image11.png"/><Relationship Id="rId9" Type="http://schemas.openxmlformats.org/officeDocument/2006/relationships/image" Target="../media/image12.png"/><Relationship Id="rId10" Type="http://schemas.openxmlformats.org/officeDocument/2006/relationships/image" Target="../media/image13.png"/><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4" Type="http://schemas.openxmlformats.org/officeDocument/2006/relationships/image" Target="../media/image17.png"/><Relationship Id="rId5" Type="http://schemas.openxmlformats.org/officeDocument/2006/relationships/image" Target="../media/image18.png"/><Relationship Id="rId6" Type="http://schemas.openxmlformats.org/officeDocument/2006/relationships/image" Target="../media/image19.png"/><Relationship Id="rId7" Type="http://schemas.openxmlformats.org/officeDocument/2006/relationships/image" Target="../media/image20.png"/><Relationship Id="rId8" Type="http://schemas.openxmlformats.org/officeDocument/2006/relationships/image" Target="../media/image21.png"/><Relationship Id="rId9" Type="http://schemas.openxmlformats.org/officeDocument/2006/relationships/image" Target="../media/image22.png"/><Relationship Id="rId10" Type="http://schemas.openxmlformats.org/officeDocument/2006/relationships/image" Target="../media/image23.png"/><Relationship Id="rId1" Type="http://schemas.openxmlformats.org/officeDocument/2006/relationships/image" Target="../media/image14.png"/><Relationship Id="rId2" Type="http://schemas.openxmlformats.org/officeDocument/2006/relationships/image" Target="../media/image15.png"/></Relationships>
</file>

<file path=xl/drawings/_rels/drawing4.xml.rels><?xml version="1.0" encoding="UTF-8" standalone="yes"?>
<Relationships xmlns="http://schemas.openxmlformats.org/package/2006/relationships"><Relationship Id="rId9" Type="http://schemas.openxmlformats.org/officeDocument/2006/relationships/image" Target="../media/image32.png"/><Relationship Id="rId20" Type="http://schemas.openxmlformats.org/officeDocument/2006/relationships/image" Target="../media/image22.png"/><Relationship Id="rId10" Type="http://schemas.openxmlformats.org/officeDocument/2006/relationships/image" Target="../media/image33.png"/><Relationship Id="rId11" Type="http://schemas.openxmlformats.org/officeDocument/2006/relationships/image" Target="../media/image34.png"/><Relationship Id="rId12" Type="http://schemas.openxmlformats.org/officeDocument/2006/relationships/image" Target="../media/image14.png"/><Relationship Id="rId13" Type="http://schemas.openxmlformats.org/officeDocument/2006/relationships/image" Target="../media/image15.png"/><Relationship Id="rId14" Type="http://schemas.openxmlformats.org/officeDocument/2006/relationships/image" Target="../media/image16.png"/><Relationship Id="rId15" Type="http://schemas.openxmlformats.org/officeDocument/2006/relationships/image" Target="../media/image17.png"/><Relationship Id="rId16" Type="http://schemas.openxmlformats.org/officeDocument/2006/relationships/image" Target="../media/image18.png"/><Relationship Id="rId17" Type="http://schemas.openxmlformats.org/officeDocument/2006/relationships/image" Target="../media/image19.png"/><Relationship Id="rId18" Type="http://schemas.openxmlformats.org/officeDocument/2006/relationships/image" Target="../media/image20.png"/><Relationship Id="rId19" Type="http://schemas.openxmlformats.org/officeDocument/2006/relationships/image" Target="../media/image21.png"/><Relationship Id="rId1" Type="http://schemas.openxmlformats.org/officeDocument/2006/relationships/image" Target="../media/image24.png"/><Relationship Id="rId2" Type="http://schemas.openxmlformats.org/officeDocument/2006/relationships/image" Target="../media/image25.png"/><Relationship Id="rId3" Type="http://schemas.openxmlformats.org/officeDocument/2006/relationships/image" Target="../media/image26.png"/><Relationship Id="rId4" Type="http://schemas.openxmlformats.org/officeDocument/2006/relationships/image" Target="../media/image27.png"/><Relationship Id="rId5" Type="http://schemas.openxmlformats.org/officeDocument/2006/relationships/image" Target="../media/image28.png"/><Relationship Id="rId6" Type="http://schemas.openxmlformats.org/officeDocument/2006/relationships/image" Target="../media/image29.png"/><Relationship Id="rId7" Type="http://schemas.openxmlformats.org/officeDocument/2006/relationships/image" Target="../media/image30.png"/><Relationship Id="rId8"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7.png"/><Relationship Id="rId4" Type="http://schemas.openxmlformats.org/officeDocument/2006/relationships/image" Target="../media/image38.png"/><Relationship Id="rId5" Type="http://schemas.openxmlformats.org/officeDocument/2006/relationships/image" Target="../media/image39.png"/><Relationship Id="rId6" Type="http://schemas.openxmlformats.org/officeDocument/2006/relationships/image" Target="../media/image40.png"/><Relationship Id="rId7" Type="http://schemas.openxmlformats.org/officeDocument/2006/relationships/image" Target="../media/image41.png"/><Relationship Id="rId8" Type="http://schemas.openxmlformats.org/officeDocument/2006/relationships/image" Target="../media/image42.png"/><Relationship Id="rId1" Type="http://schemas.openxmlformats.org/officeDocument/2006/relationships/image" Target="../media/image35.png"/><Relationship Id="rId2"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165100</xdr:colOff>
      <xdr:row>73</xdr:row>
      <xdr:rowOff>88900</xdr:rowOff>
    </xdr:from>
    <xdr:to>
      <xdr:col>6</xdr:col>
      <xdr:colOff>25400</xdr:colOff>
      <xdr:row>79</xdr:row>
      <xdr:rowOff>117791</xdr:rowOff>
    </xdr:to>
    <xdr:pic>
      <xdr:nvPicPr>
        <xdr:cNvPr id="2" name="图片 1"/>
        <xdr:cNvPicPr>
          <a:picLocks noChangeAspect="1"/>
        </xdr:cNvPicPr>
      </xdr:nvPicPr>
      <xdr:blipFill>
        <a:blip xmlns:r="http://schemas.openxmlformats.org/officeDocument/2006/relationships" r:embed="rId1"/>
        <a:stretch>
          <a:fillRect/>
        </a:stretch>
      </xdr:blipFill>
      <xdr:spPr>
        <a:xfrm>
          <a:off x="165100" y="14135100"/>
          <a:ext cx="3746500" cy="1171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646247</xdr:colOff>
      <xdr:row>4</xdr:row>
      <xdr:rowOff>171343</xdr:rowOff>
    </xdr:to>
    <xdr:pic>
      <xdr:nvPicPr>
        <xdr:cNvPr id="2" name="图片 1">
          <a:extLst>
            <a:ext uri="{FF2B5EF4-FFF2-40B4-BE49-F238E27FC236}">
              <a16:creationId xmlns="" xmlns:a16="http://schemas.microsoft.com/office/drawing/2014/main" id="{B3F40458-AE15-4FEA-ADD8-922DB5D4E19C}"/>
            </a:ext>
          </a:extLst>
        </xdr:cNvPr>
        <xdr:cNvPicPr>
          <a:picLocks noChangeAspect="1"/>
        </xdr:cNvPicPr>
      </xdr:nvPicPr>
      <xdr:blipFill>
        <a:blip xmlns:r="http://schemas.openxmlformats.org/officeDocument/2006/relationships" r:embed="rId1"/>
        <a:stretch>
          <a:fillRect/>
        </a:stretch>
      </xdr:blipFill>
      <xdr:spPr>
        <a:xfrm>
          <a:off x="0" y="0"/>
          <a:ext cx="11619047" cy="857143"/>
        </a:xfrm>
        <a:prstGeom prst="rect">
          <a:avLst/>
        </a:prstGeom>
      </xdr:spPr>
    </xdr:pic>
    <xdr:clientData/>
  </xdr:twoCellAnchor>
  <xdr:twoCellAnchor editAs="oneCell">
    <xdr:from>
      <xdr:col>0</xdr:col>
      <xdr:colOff>0</xdr:colOff>
      <xdr:row>5</xdr:row>
      <xdr:rowOff>38100</xdr:rowOff>
    </xdr:from>
    <xdr:to>
      <xdr:col>16</xdr:col>
      <xdr:colOff>646247</xdr:colOff>
      <xdr:row>10</xdr:row>
      <xdr:rowOff>9421</xdr:rowOff>
    </xdr:to>
    <xdr:pic>
      <xdr:nvPicPr>
        <xdr:cNvPr id="3" name="图片 2">
          <a:extLst>
            <a:ext uri="{FF2B5EF4-FFF2-40B4-BE49-F238E27FC236}">
              <a16:creationId xmlns="" xmlns:a16="http://schemas.microsoft.com/office/drawing/2014/main" id="{62E3E393-A863-402C-B75A-859B0DB7C95B}"/>
            </a:ext>
          </a:extLst>
        </xdr:cNvPr>
        <xdr:cNvPicPr>
          <a:picLocks noChangeAspect="1"/>
        </xdr:cNvPicPr>
      </xdr:nvPicPr>
      <xdr:blipFill>
        <a:blip xmlns:r="http://schemas.openxmlformats.org/officeDocument/2006/relationships" r:embed="rId2"/>
        <a:stretch>
          <a:fillRect/>
        </a:stretch>
      </xdr:blipFill>
      <xdr:spPr>
        <a:xfrm>
          <a:off x="0" y="895350"/>
          <a:ext cx="11619047" cy="828571"/>
        </a:xfrm>
        <a:prstGeom prst="rect">
          <a:avLst/>
        </a:prstGeom>
      </xdr:spPr>
    </xdr:pic>
    <xdr:clientData/>
  </xdr:twoCellAnchor>
  <xdr:twoCellAnchor editAs="oneCell">
    <xdr:from>
      <xdr:col>0</xdr:col>
      <xdr:colOff>19050</xdr:colOff>
      <xdr:row>10</xdr:row>
      <xdr:rowOff>47625</xdr:rowOff>
    </xdr:from>
    <xdr:to>
      <xdr:col>16</xdr:col>
      <xdr:colOff>665297</xdr:colOff>
      <xdr:row>22</xdr:row>
      <xdr:rowOff>152130</xdr:rowOff>
    </xdr:to>
    <xdr:pic>
      <xdr:nvPicPr>
        <xdr:cNvPr id="4" name="图片 3">
          <a:extLst>
            <a:ext uri="{FF2B5EF4-FFF2-40B4-BE49-F238E27FC236}">
              <a16:creationId xmlns="" xmlns:a16="http://schemas.microsoft.com/office/drawing/2014/main" id="{754365B2-89B3-469E-A84B-62C06D106E36}"/>
            </a:ext>
          </a:extLst>
        </xdr:cNvPr>
        <xdr:cNvPicPr>
          <a:picLocks noChangeAspect="1"/>
        </xdr:cNvPicPr>
      </xdr:nvPicPr>
      <xdr:blipFill>
        <a:blip xmlns:r="http://schemas.openxmlformats.org/officeDocument/2006/relationships" r:embed="rId3"/>
        <a:stretch>
          <a:fillRect/>
        </a:stretch>
      </xdr:blipFill>
      <xdr:spPr>
        <a:xfrm>
          <a:off x="19050" y="1762125"/>
          <a:ext cx="11619047" cy="2161905"/>
        </a:xfrm>
        <a:prstGeom prst="rect">
          <a:avLst/>
        </a:prstGeom>
      </xdr:spPr>
    </xdr:pic>
    <xdr:clientData/>
  </xdr:twoCellAnchor>
  <xdr:twoCellAnchor editAs="oneCell">
    <xdr:from>
      <xdr:col>0</xdr:col>
      <xdr:colOff>0</xdr:colOff>
      <xdr:row>23</xdr:row>
      <xdr:rowOff>47625</xdr:rowOff>
    </xdr:from>
    <xdr:to>
      <xdr:col>16</xdr:col>
      <xdr:colOff>579581</xdr:colOff>
      <xdr:row>30</xdr:row>
      <xdr:rowOff>104618</xdr:rowOff>
    </xdr:to>
    <xdr:pic>
      <xdr:nvPicPr>
        <xdr:cNvPr id="5" name="图片 4">
          <a:extLst>
            <a:ext uri="{FF2B5EF4-FFF2-40B4-BE49-F238E27FC236}">
              <a16:creationId xmlns="" xmlns:a16="http://schemas.microsoft.com/office/drawing/2014/main" id="{452AA59A-A578-4965-A2F4-357D08B043AA}"/>
            </a:ext>
          </a:extLst>
        </xdr:cNvPr>
        <xdr:cNvPicPr>
          <a:picLocks noChangeAspect="1"/>
        </xdr:cNvPicPr>
      </xdr:nvPicPr>
      <xdr:blipFill>
        <a:blip xmlns:r="http://schemas.openxmlformats.org/officeDocument/2006/relationships" r:embed="rId4"/>
        <a:stretch>
          <a:fillRect/>
        </a:stretch>
      </xdr:blipFill>
      <xdr:spPr>
        <a:xfrm>
          <a:off x="0" y="3990975"/>
          <a:ext cx="11552381" cy="1257143"/>
        </a:xfrm>
        <a:prstGeom prst="rect">
          <a:avLst/>
        </a:prstGeom>
      </xdr:spPr>
    </xdr:pic>
    <xdr:clientData/>
  </xdr:twoCellAnchor>
  <xdr:twoCellAnchor editAs="oneCell">
    <xdr:from>
      <xdr:col>17</xdr:col>
      <xdr:colOff>0</xdr:colOff>
      <xdr:row>0</xdr:row>
      <xdr:rowOff>0</xdr:rowOff>
    </xdr:from>
    <xdr:to>
      <xdr:col>29</xdr:col>
      <xdr:colOff>227543</xdr:colOff>
      <xdr:row>18</xdr:row>
      <xdr:rowOff>123424</xdr:rowOff>
    </xdr:to>
    <xdr:pic>
      <xdr:nvPicPr>
        <xdr:cNvPr id="6" name="图片 5">
          <a:extLst>
            <a:ext uri="{FF2B5EF4-FFF2-40B4-BE49-F238E27FC236}">
              <a16:creationId xmlns="" xmlns:a16="http://schemas.microsoft.com/office/drawing/2014/main" id="{8254A3C4-2E79-4449-8591-6BD106FBD1EA}"/>
            </a:ext>
          </a:extLst>
        </xdr:cNvPr>
        <xdr:cNvPicPr>
          <a:picLocks noChangeAspect="1"/>
        </xdr:cNvPicPr>
      </xdr:nvPicPr>
      <xdr:blipFill>
        <a:blip xmlns:r="http://schemas.openxmlformats.org/officeDocument/2006/relationships" r:embed="rId5"/>
        <a:stretch>
          <a:fillRect/>
        </a:stretch>
      </xdr:blipFill>
      <xdr:spPr>
        <a:xfrm>
          <a:off x="11658600" y="0"/>
          <a:ext cx="8457143" cy="3209524"/>
        </a:xfrm>
        <a:prstGeom prst="rect">
          <a:avLst/>
        </a:prstGeom>
      </xdr:spPr>
    </xdr:pic>
    <xdr:clientData/>
  </xdr:twoCellAnchor>
  <xdr:twoCellAnchor editAs="oneCell">
    <xdr:from>
      <xdr:col>0</xdr:col>
      <xdr:colOff>0</xdr:colOff>
      <xdr:row>33</xdr:row>
      <xdr:rowOff>0</xdr:rowOff>
    </xdr:from>
    <xdr:to>
      <xdr:col>16</xdr:col>
      <xdr:colOff>627200</xdr:colOff>
      <xdr:row>60</xdr:row>
      <xdr:rowOff>37517</xdr:rowOff>
    </xdr:to>
    <xdr:pic>
      <xdr:nvPicPr>
        <xdr:cNvPr id="7" name="图片 6">
          <a:extLst>
            <a:ext uri="{FF2B5EF4-FFF2-40B4-BE49-F238E27FC236}">
              <a16:creationId xmlns="" xmlns:a16="http://schemas.microsoft.com/office/drawing/2014/main" id="{D6A75596-D55C-47A2-AEA9-76E04629D61F}"/>
            </a:ext>
          </a:extLst>
        </xdr:cNvPr>
        <xdr:cNvPicPr>
          <a:picLocks noChangeAspect="1"/>
        </xdr:cNvPicPr>
      </xdr:nvPicPr>
      <xdr:blipFill>
        <a:blip xmlns:r="http://schemas.openxmlformats.org/officeDocument/2006/relationships" r:embed="rId6"/>
        <a:stretch>
          <a:fillRect/>
        </a:stretch>
      </xdr:blipFill>
      <xdr:spPr>
        <a:xfrm>
          <a:off x="0" y="5657850"/>
          <a:ext cx="11600000" cy="4666667"/>
        </a:xfrm>
        <a:prstGeom prst="rect">
          <a:avLst/>
        </a:prstGeom>
      </xdr:spPr>
    </xdr:pic>
    <xdr:clientData/>
  </xdr:twoCellAnchor>
  <xdr:twoCellAnchor editAs="oneCell">
    <xdr:from>
      <xdr:col>0</xdr:col>
      <xdr:colOff>0</xdr:colOff>
      <xdr:row>63</xdr:row>
      <xdr:rowOff>0</xdr:rowOff>
    </xdr:from>
    <xdr:to>
      <xdr:col>17</xdr:col>
      <xdr:colOff>27114</xdr:colOff>
      <xdr:row>67</xdr:row>
      <xdr:rowOff>133248</xdr:rowOff>
    </xdr:to>
    <xdr:pic>
      <xdr:nvPicPr>
        <xdr:cNvPr id="8" name="图片 7">
          <a:extLst>
            <a:ext uri="{FF2B5EF4-FFF2-40B4-BE49-F238E27FC236}">
              <a16:creationId xmlns="" xmlns:a16="http://schemas.microsoft.com/office/drawing/2014/main" id="{49B06E04-9094-44DD-AB64-DD5669015311}"/>
            </a:ext>
          </a:extLst>
        </xdr:cNvPr>
        <xdr:cNvPicPr>
          <a:picLocks noChangeAspect="1"/>
        </xdr:cNvPicPr>
      </xdr:nvPicPr>
      <xdr:blipFill>
        <a:blip xmlns:r="http://schemas.openxmlformats.org/officeDocument/2006/relationships" r:embed="rId7"/>
        <a:stretch>
          <a:fillRect/>
        </a:stretch>
      </xdr:blipFill>
      <xdr:spPr>
        <a:xfrm>
          <a:off x="0" y="10801350"/>
          <a:ext cx="11685714" cy="819048"/>
        </a:xfrm>
        <a:prstGeom prst="rect">
          <a:avLst/>
        </a:prstGeom>
      </xdr:spPr>
    </xdr:pic>
    <xdr:clientData/>
  </xdr:twoCellAnchor>
  <xdr:twoCellAnchor editAs="oneCell">
    <xdr:from>
      <xdr:col>0</xdr:col>
      <xdr:colOff>0</xdr:colOff>
      <xdr:row>75</xdr:row>
      <xdr:rowOff>66675</xdr:rowOff>
    </xdr:from>
    <xdr:to>
      <xdr:col>16</xdr:col>
      <xdr:colOff>389105</xdr:colOff>
      <xdr:row>92</xdr:row>
      <xdr:rowOff>171073</xdr:rowOff>
    </xdr:to>
    <xdr:pic>
      <xdr:nvPicPr>
        <xdr:cNvPr id="9" name="图片 8">
          <a:extLst>
            <a:ext uri="{FF2B5EF4-FFF2-40B4-BE49-F238E27FC236}">
              <a16:creationId xmlns="" xmlns:a16="http://schemas.microsoft.com/office/drawing/2014/main" id="{59E9EFF6-9EE2-466A-B91C-457163D95D94}"/>
            </a:ext>
          </a:extLst>
        </xdr:cNvPr>
        <xdr:cNvPicPr>
          <a:picLocks noChangeAspect="1"/>
        </xdr:cNvPicPr>
      </xdr:nvPicPr>
      <xdr:blipFill>
        <a:blip xmlns:r="http://schemas.openxmlformats.org/officeDocument/2006/relationships" r:embed="rId8"/>
        <a:stretch>
          <a:fillRect/>
        </a:stretch>
      </xdr:blipFill>
      <xdr:spPr>
        <a:xfrm>
          <a:off x="0" y="12925425"/>
          <a:ext cx="11361905" cy="3019048"/>
        </a:xfrm>
        <a:prstGeom prst="rect">
          <a:avLst/>
        </a:prstGeom>
      </xdr:spPr>
    </xdr:pic>
    <xdr:clientData/>
  </xdr:twoCellAnchor>
  <xdr:twoCellAnchor editAs="oneCell">
    <xdr:from>
      <xdr:col>0</xdr:col>
      <xdr:colOff>0</xdr:colOff>
      <xdr:row>90</xdr:row>
      <xdr:rowOff>0</xdr:rowOff>
    </xdr:from>
    <xdr:to>
      <xdr:col>17</xdr:col>
      <xdr:colOff>103305</xdr:colOff>
      <xdr:row>94</xdr:row>
      <xdr:rowOff>161819</xdr:rowOff>
    </xdr:to>
    <xdr:pic>
      <xdr:nvPicPr>
        <xdr:cNvPr id="10" name="图片 9">
          <a:extLst>
            <a:ext uri="{FF2B5EF4-FFF2-40B4-BE49-F238E27FC236}">
              <a16:creationId xmlns="" xmlns:a16="http://schemas.microsoft.com/office/drawing/2014/main" id="{A5F08586-0563-452E-AB9D-CCCA1BF8F62C}"/>
            </a:ext>
          </a:extLst>
        </xdr:cNvPr>
        <xdr:cNvPicPr>
          <a:picLocks noChangeAspect="1"/>
        </xdr:cNvPicPr>
      </xdr:nvPicPr>
      <xdr:blipFill>
        <a:blip xmlns:r="http://schemas.openxmlformats.org/officeDocument/2006/relationships" r:embed="rId9"/>
        <a:stretch>
          <a:fillRect/>
        </a:stretch>
      </xdr:blipFill>
      <xdr:spPr>
        <a:xfrm>
          <a:off x="0" y="15430500"/>
          <a:ext cx="11761905" cy="847619"/>
        </a:xfrm>
        <a:prstGeom prst="rect">
          <a:avLst/>
        </a:prstGeom>
      </xdr:spPr>
    </xdr:pic>
    <xdr:clientData/>
  </xdr:twoCellAnchor>
  <xdr:twoCellAnchor editAs="oneCell">
    <xdr:from>
      <xdr:col>0</xdr:col>
      <xdr:colOff>0</xdr:colOff>
      <xdr:row>67</xdr:row>
      <xdr:rowOff>28576</xdr:rowOff>
    </xdr:from>
    <xdr:to>
      <xdr:col>16</xdr:col>
      <xdr:colOff>581025</xdr:colOff>
      <xdr:row>72</xdr:row>
      <xdr:rowOff>19486</xdr:rowOff>
    </xdr:to>
    <xdr:pic>
      <xdr:nvPicPr>
        <xdr:cNvPr id="11" name="图片 10">
          <a:extLst>
            <a:ext uri="{FF2B5EF4-FFF2-40B4-BE49-F238E27FC236}">
              <a16:creationId xmlns="" xmlns:a16="http://schemas.microsoft.com/office/drawing/2014/main" id="{D2181580-5CB3-4247-B1FE-9B7CCF0B5848}"/>
            </a:ext>
          </a:extLst>
        </xdr:cNvPr>
        <xdr:cNvPicPr>
          <a:picLocks noChangeAspect="1"/>
        </xdr:cNvPicPr>
      </xdr:nvPicPr>
      <xdr:blipFill>
        <a:blip xmlns:r="http://schemas.openxmlformats.org/officeDocument/2006/relationships" r:embed="rId10"/>
        <a:stretch>
          <a:fillRect/>
        </a:stretch>
      </xdr:blipFill>
      <xdr:spPr>
        <a:xfrm>
          <a:off x="0" y="11515726"/>
          <a:ext cx="11553825" cy="848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145413</xdr:colOff>
      <xdr:row>0</xdr:row>
      <xdr:rowOff>50800</xdr:rowOff>
    </xdr:from>
    <xdr:to>
      <xdr:col>8</xdr:col>
      <xdr:colOff>520698</xdr:colOff>
      <xdr:row>25</xdr:row>
      <xdr:rowOff>101600</xdr:rowOff>
    </xdr:to>
    <xdr:pic>
      <xdr:nvPicPr>
        <xdr:cNvPr id="2" name="图片 1"/>
        <xdr:cNvPicPr>
          <a:picLocks noChangeAspect="1"/>
        </xdr:cNvPicPr>
      </xdr:nvPicPr>
      <xdr:blipFill>
        <a:blip xmlns:r="http://schemas.openxmlformats.org/officeDocument/2006/relationships" r:embed="rId1"/>
        <a:stretch>
          <a:fillRect/>
        </a:stretch>
      </xdr:blipFill>
      <xdr:spPr>
        <a:xfrm>
          <a:off x="145413" y="50800"/>
          <a:ext cx="6979285" cy="4813300"/>
        </a:xfrm>
        <a:prstGeom prst="rect">
          <a:avLst/>
        </a:prstGeom>
      </xdr:spPr>
    </xdr:pic>
    <xdr:clientData/>
  </xdr:twoCellAnchor>
  <xdr:twoCellAnchor editAs="oneCell">
    <xdr:from>
      <xdr:col>0</xdr:col>
      <xdr:colOff>114300</xdr:colOff>
      <xdr:row>26</xdr:row>
      <xdr:rowOff>12700</xdr:rowOff>
    </xdr:from>
    <xdr:to>
      <xdr:col>8</xdr:col>
      <xdr:colOff>556809</xdr:colOff>
      <xdr:row>33</xdr:row>
      <xdr:rowOff>114299</xdr:rowOff>
    </xdr:to>
    <xdr:pic>
      <xdr:nvPicPr>
        <xdr:cNvPr id="3" name="图片 2"/>
        <xdr:cNvPicPr>
          <a:picLocks noChangeAspect="1"/>
        </xdr:cNvPicPr>
      </xdr:nvPicPr>
      <xdr:blipFill>
        <a:blip xmlns:r="http://schemas.openxmlformats.org/officeDocument/2006/relationships" r:embed="rId2"/>
        <a:stretch>
          <a:fillRect/>
        </a:stretch>
      </xdr:blipFill>
      <xdr:spPr>
        <a:xfrm>
          <a:off x="114300" y="4965700"/>
          <a:ext cx="7046509" cy="1435099"/>
        </a:xfrm>
        <a:prstGeom prst="rect">
          <a:avLst/>
        </a:prstGeom>
      </xdr:spPr>
    </xdr:pic>
    <xdr:clientData/>
  </xdr:twoCellAnchor>
  <xdr:twoCellAnchor editAs="oneCell">
    <xdr:from>
      <xdr:col>0</xdr:col>
      <xdr:colOff>63500</xdr:colOff>
      <xdr:row>33</xdr:row>
      <xdr:rowOff>125746</xdr:rowOff>
    </xdr:from>
    <xdr:to>
      <xdr:col>8</xdr:col>
      <xdr:colOff>622300</xdr:colOff>
      <xdr:row>39</xdr:row>
      <xdr:rowOff>177798</xdr:rowOff>
    </xdr:to>
    <xdr:pic>
      <xdr:nvPicPr>
        <xdr:cNvPr id="4" name="图片 3"/>
        <xdr:cNvPicPr>
          <a:picLocks noChangeAspect="1"/>
        </xdr:cNvPicPr>
      </xdr:nvPicPr>
      <xdr:blipFill>
        <a:blip xmlns:r="http://schemas.openxmlformats.org/officeDocument/2006/relationships" r:embed="rId3"/>
        <a:stretch>
          <a:fillRect/>
        </a:stretch>
      </xdr:blipFill>
      <xdr:spPr>
        <a:xfrm>
          <a:off x="63500" y="6412246"/>
          <a:ext cx="7162800" cy="1195052"/>
        </a:xfrm>
        <a:prstGeom prst="rect">
          <a:avLst/>
        </a:prstGeom>
      </xdr:spPr>
    </xdr:pic>
    <xdr:clientData/>
  </xdr:twoCellAnchor>
  <xdr:twoCellAnchor editAs="oneCell">
    <xdr:from>
      <xdr:col>0</xdr:col>
      <xdr:colOff>0</xdr:colOff>
      <xdr:row>39</xdr:row>
      <xdr:rowOff>159327</xdr:rowOff>
    </xdr:from>
    <xdr:to>
      <xdr:col>8</xdr:col>
      <xdr:colOff>800100</xdr:colOff>
      <xdr:row>46</xdr:row>
      <xdr:rowOff>50799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588827"/>
          <a:ext cx="7404100" cy="1224972"/>
        </a:xfrm>
        <a:prstGeom prst="rect">
          <a:avLst/>
        </a:prstGeom>
      </xdr:spPr>
    </xdr:pic>
    <xdr:clientData/>
  </xdr:twoCellAnchor>
  <xdr:twoCellAnchor editAs="oneCell">
    <xdr:from>
      <xdr:col>0</xdr:col>
      <xdr:colOff>0</xdr:colOff>
      <xdr:row>46</xdr:row>
      <xdr:rowOff>135172</xdr:rowOff>
    </xdr:from>
    <xdr:to>
      <xdr:col>10</xdr:col>
      <xdr:colOff>72249</xdr:colOff>
      <xdr:row>54</xdr:row>
      <xdr:rowOff>25399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898172"/>
          <a:ext cx="8327249" cy="1414227"/>
        </a:xfrm>
        <a:prstGeom prst="rect">
          <a:avLst/>
        </a:prstGeom>
      </xdr:spPr>
    </xdr:pic>
    <xdr:clientData/>
  </xdr:twoCellAnchor>
  <xdr:twoCellAnchor editAs="oneCell">
    <xdr:from>
      <xdr:col>0</xdr:col>
      <xdr:colOff>0</xdr:colOff>
      <xdr:row>54</xdr:row>
      <xdr:rowOff>26791</xdr:rowOff>
    </xdr:from>
    <xdr:to>
      <xdr:col>10</xdr:col>
      <xdr:colOff>9775</xdr:colOff>
      <xdr:row>61</xdr:row>
      <xdr:rowOff>165100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313791"/>
          <a:ext cx="8264775" cy="1471809"/>
        </a:xfrm>
        <a:prstGeom prst="rect">
          <a:avLst/>
        </a:prstGeom>
      </xdr:spPr>
    </xdr:pic>
    <xdr:clientData/>
  </xdr:twoCellAnchor>
  <xdr:twoCellAnchor editAs="oneCell">
    <xdr:from>
      <xdr:col>9</xdr:col>
      <xdr:colOff>152399</xdr:colOff>
      <xdr:row>27</xdr:row>
      <xdr:rowOff>147002</xdr:rowOff>
    </xdr:from>
    <xdr:to>
      <xdr:col>15</xdr:col>
      <xdr:colOff>5172</xdr:colOff>
      <xdr:row>44</xdr:row>
      <xdr:rowOff>152399</xdr:rowOff>
    </xdr:to>
    <xdr:pic>
      <xdr:nvPicPr>
        <xdr:cNvPr id="8" name="图片 7"/>
        <xdr:cNvPicPr>
          <a:picLocks noChangeAspect="1"/>
        </xdr:cNvPicPr>
      </xdr:nvPicPr>
      <xdr:blipFill>
        <a:blip xmlns:r="http://schemas.openxmlformats.org/officeDocument/2006/relationships" r:embed="rId7"/>
        <a:stretch>
          <a:fillRect/>
        </a:stretch>
      </xdr:blipFill>
      <xdr:spPr>
        <a:xfrm>
          <a:off x="7581899" y="5290502"/>
          <a:ext cx="4805773" cy="3243897"/>
        </a:xfrm>
        <a:prstGeom prst="rect">
          <a:avLst/>
        </a:prstGeom>
      </xdr:spPr>
    </xdr:pic>
    <xdr:clientData/>
  </xdr:twoCellAnchor>
  <xdr:twoCellAnchor editAs="oneCell">
    <xdr:from>
      <xdr:col>8</xdr:col>
      <xdr:colOff>774700</xdr:colOff>
      <xdr:row>7</xdr:row>
      <xdr:rowOff>76200</xdr:rowOff>
    </xdr:from>
    <xdr:to>
      <xdr:col>15</xdr:col>
      <xdr:colOff>711200</xdr:colOff>
      <xdr:row>27</xdr:row>
      <xdr:rowOff>76200</xdr:rowOff>
    </xdr:to>
    <xdr:pic>
      <xdr:nvPicPr>
        <xdr:cNvPr id="10" name="图片 9"/>
        <xdr:cNvPicPr>
          <a:picLocks noChangeAspect="1"/>
        </xdr:cNvPicPr>
      </xdr:nvPicPr>
      <xdr:blipFill>
        <a:blip xmlns:r="http://schemas.openxmlformats.org/officeDocument/2006/relationships" r:embed="rId8"/>
        <a:stretch>
          <a:fillRect/>
        </a:stretch>
      </xdr:blipFill>
      <xdr:spPr>
        <a:xfrm>
          <a:off x="7378700" y="1409700"/>
          <a:ext cx="5715000" cy="3810000"/>
        </a:xfrm>
        <a:prstGeom prst="rect">
          <a:avLst/>
        </a:prstGeom>
      </xdr:spPr>
    </xdr:pic>
    <xdr:clientData/>
  </xdr:twoCellAnchor>
  <xdr:twoCellAnchor editAs="oneCell">
    <xdr:from>
      <xdr:col>0</xdr:col>
      <xdr:colOff>254000</xdr:colOff>
      <xdr:row>63</xdr:row>
      <xdr:rowOff>59970</xdr:rowOff>
    </xdr:from>
    <xdr:to>
      <xdr:col>7</xdr:col>
      <xdr:colOff>711200</xdr:colOff>
      <xdr:row>83</xdr:row>
      <xdr:rowOff>139699</xdr:rowOff>
    </xdr:to>
    <xdr:pic>
      <xdr:nvPicPr>
        <xdr:cNvPr id="11" name="图片 10"/>
        <xdr:cNvPicPr>
          <a:picLocks noChangeAspect="1"/>
        </xdr:cNvPicPr>
      </xdr:nvPicPr>
      <xdr:blipFill>
        <a:blip xmlns:r="http://schemas.openxmlformats.org/officeDocument/2006/relationships" r:embed="rId9"/>
        <a:stretch>
          <a:fillRect/>
        </a:stretch>
      </xdr:blipFill>
      <xdr:spPr>
        <a:xfrm>
          <a:off x="254000" y="12061470"/>
          <a:ext cx="6235700" cy="3889729"/>
        </a:xfrm>
        <a:prstGeom prst="rect">
          <a:avLst/>
        </a:prstGeom>
      </xdr:spPr>
    </xdr:pic>
    <xdr:clientData/>
  </xdr:twoCellAnchor>
  <xdr:twoCellAnchor editAs="oneCell">
    <xdr:from>
      <xdr:col>0</xdr:col>
      <xdr:colOff>0</xdr:colOff>
      <xdr:row>84</xdr:row>
      <xdr:rowOff>50800</xdr:rowOff>
    </xdr:from>
    <xdr:to>
      <xdr:col>9</xdr:col>
      <xdr:colOff>464356</xdr:colOff>
      <xdr:row>110</xdr:row>
      <xdr:rowOff>114299</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16052800"/>
          <a:ext cx="7893856" cy="50164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9</xdr:col>
      <xdr:colOff>333132</xdr:colOff>
      <xdr:row>7</xdr:row>
      <xdr:rowOff>63500</xdr:rowOff>
    </xdr:to>
    <xdr:pic>
      <xdr:nvPicPr>
        <xdr:cNvPr id="3" name="图片 2"/>
        <xdr:cNvPicPr>
          <a:picLocks noChangeAspect="1"/>
        </xdr:cNvPicPr>
      </xdr:nvPicPr>
      <xdr:blipFill>
        <a:blip xmlns:r="http://schemas.openxmlformats.org/officeDocument/2006/relationships" r:embed="rId1"/>
        <a:stretch>
          <a:fillRect/>
        </a:stretch>
      </xdr:blipFill>
      <xdr:spPr>
        <a:xfrm>
          <a:off x="25400" y="0"/>
          <a:ext cx="7737232" cy="1397000"/>
        </a:xfrm>
        <a:prstGeom prst="rect">
          <a:avLst/>
        </a:prstGeom>
      </xdr:spPr>
    </xdr:pic>
    <xdr:clientData/>
  </xdr:twoCellAnchor>
  <xdr:twoCellAnchor editAs="oneCell">
    <xdr:from>
      <xdr:col>0</xdr:col>
      <xdr:colOff>0</xdr:colOff>
      <xdr:row>7</xdr:row>
      <xdr:rowOff>101601</xdr:rowOff>
    </xdr:from>
    <xdr:to>
      <xdr:col>9</xdr:col>
      <xdr:colOff>393700</xdr:colOff>
      <xdr:row>22</xdr:row>
      <xdr:rowOff>186305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435101"/>
          <a:ext cx="7823200" cy="2942204"/>
        </a:xfrm>
        <a:prstGeom prst="rect">
          <a:avLst/>
        </a:prstGeom>
      </xdr:spPr>
    </xdr:pic>
    <xdr:clientData/>
  </xdr:twoCellAnchor>
  <xdr:twoCellAnchor editAs="oneCell">
    <xdr:from>
      <xdr:col>0</xdr:col>
      <xdr:colOff>38101</xdr:colOff>
      <xdr:row>23</xdr:row>
      <xdr:rowOff>35494</xdr:rowOff>
    </xdr:from>
    <xdr:to>
      <xdr:col>9</xdr:col>
      <xdr:colOff>330201</xdr:colOff>
      <xdr:row>37</xdr:row>
      <xdr:rowOff>165099</xdr:rowOff>
    </xdr:to>
    <xdr:pic>
      <xdr:nvPicPr>
        <xdr:cNvPr id="5" name="图片 4"/>
        <xdr:cNvPicPr>
          <a:picLocks noChangeAspect="1"/>
        </xdr:cNvPicPr>
      </xdr:nvPicPr>
      <xdr:blipFill>
        <a:blip xmlns:r="http://schemas.openxmlformats.org/officeDocument/2006/relationships" r:embed="rId3"/>
        <a:stretch>
          <a:fillRect/>
        </a:stretch>
      </xdr:blipFill>
      <xdr:spPr>
        <a:xfrm>
          <a:off x="38101" y="4416994"/>
          <a:ext cx="7721600" cy="2796605"/>
        </a:xfrm>
        <a:prstGeom prst="rect">
          <a:avLst/>
        </a:prstGeom>
      </xdr:spPr>
    </xdr:pic>
    <xdr:clientData/>
  </xdr:twoCellAnchor>
  <xdr:twoCellAnchor editAs="oneCell">
    <xdr:from>
      <xdr:col>0</xdr:col>
      <xdr:colOff>0</xdr:colOff>
      <xdr:row>38</xdr:row>
      <xdr:rowOff>40869</xdr:rowOff>
    </xdr:from>
    <xdr:to>
      <xdr:col>9</xdr:col>
      <xdr:colOff>342900</xdr:colOff>
      <xdr:row>53</xdr:row>
      <xdr:rowOff>76198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279869"/>
          <a:ext cx="7772400" cy="2892829"/>
        </a:xfrm>
        <a:prstGeom prst="rect">
          <a:avLst/>
        </a:prstGeom>
      </xdr:spPr>
    </xdr:pic>
    <xdr:clientData/>
  </xdr:twoCellAnchor>
  <xdr:twoCellAnchor editAs="oneCell">
    <xdr:from>
      <xdr:col>9</xdr:col>
      <xdr:colOff>584200</xdr:colOff>
      <xdr:row>0</xdr:row>
      <xdr:rowOff>10945</xdr:rowOff>
    </xdr:from>
    <xdr:to>
      <xdr:col>20</xdr:col>
      <xdr:colOff>546100</xdr:colOff>
      <xdr:row>7</xdr:row>
      <xdr:rowOff>45703</xdr:rowOff>
    </xdr:to>
    <xdr:pic>
      <xdr:nvPicPr>
        <xdr:cNvPr id="8" name="图片 7"/>
        <xdr:cNvPicPr>
          <a:picLocks noChangeAspect="1"/>
        </xdr:cNvPicPr>
      </xdr:nvPicPr>
      <xdr:blipFill>
        <a:blip xmlns:r="http://schemas.openxmlformats.org/officeDocument/2006/relationships" r:embed="rId5"/>
        <a:stretch>
          <a:fillRect/>
        </a:stretch>
      </xdr:blipFill>
      <xdr:spPr>
        <a:xfrm>
          <a:off x="8013700" y="10945"/>
          <a:ext cx="9042400" cy="1368258"/>
        </a:xfrm>
        <a:prstGeom prst="rect">
          <a:avLst/>
        </a:prstGeom>
      </xdr:spPr>
    </xdr:pic>
    <xdr:clientData/>
  </xdr:twoCellAnchor>
  <xdr:twoCellAnchor editAs="oneCell">
    <xdr:from>
      <xdr:col>20</xdr:col>
      <xdr:colOff>622300</xdr:colOff>
      <xdr:row>0</xdr:row>
      <xdr:rowOff>0</xdr:rowOff>
    </xdr:from>
    <xdr:to>
      <xdr:col>32</xdr:col>
      <xdr:colOff>457200</xdr:colOff>
      <xdr:row>7</xdr:row>
      <xdr:rowOff>186508</xdr:rowOff>
    </xdr:to>
    <xdr:pic>
      <xdr:nvPicPr>
        <xdr:cNvPr id="9" name="图片 8"/>
        <xdr:cNvPicPr>
          <a:picLocks noChangeAspect="1"/>
        </xdr:cNvPicPr>
      </xdr:nvPicPr>
      <xdr:blipFill>
        <a:blip xmlns:r="http://schemas.openxmlformats.org/officeDocument/2006/relationships" r:embed="rId6"/>
        <a:stretch>
          <a:fillRect/>
        </a:stretch>
      </xdr:blipFill>
      <xdr:spPr>
        <a:xfrm>
          <a:off x="17132300" y="0"/>
          <a:ext cx="9740900" cy="1520008"/>
        </a:xfrm>
        <a:prstGeom prst="rect">
          <a:avLst/>
        </a:prstGeom>
      </xdr:spPr>
    </xdr:pic>
    <xdr:clientData/>
  </xdr:twoCellAnchor>
  <xdr:twoCellAnchor editAs="oneCell">
    <xdr:from>
      <xdr:col>20</xdr:col>
      <xdr:colOff>584200</xdr:colOff>
      <xdr:row>8</xdr:row>
      <xdr:rowOff>120649</xdr:rowOff>
    </xdr:from>
    <xdr:to>
      <xdr:col>31</xdr:col>
      <xdr:colOff>152400</xdr:colOff>
      <xdr:row>16</xdr:row>
      <xdr:rowOff>38098</xdr:rowOff>
    </xdr:to>
    <xdr:pic>
      <xdr:nvPicPr>
        <xdr:cNvPr id="10" name="图片 9"/>
        <xdr:cNvPicPr>
          <a:picLocks noChangeAspect="1"/>
        </xdr:cNvPicPr>
      </xdr:nvPicPr>
      <xdr:blipFill>
        <a:blip xmlns:r="http://schemas.openxmlformats.org/officeDocument/2006/relationships" r:embed="rId7"/>
        <a:stretch>
          <a:fillRect/>
        </a:stretch>
      </xdr:blipFill>
      <xdr:spPr>
        <a:xfrm>
          <a:off x="17094200" y="1644649"/>
          <a:ext cx="8648700" cy="1441449"/>
        </a:xfrm>
        <a:prstGeom prst="rect">
          <a:avLst/>
        </a:prstGeom>
      </xdr:spPr>
    </xdr:pic>
    <xdr:clientData/>
  </xdr:twoCellAnchor>
  <xdr:twoCellAnchor editAs="oneCell">
    <xdr:from>
      <xdr:col>20</xdr:col>
      <xdr:colOff>508000</xdr:colOff>
      <xdr:row>16</xdr:row>
      <xdr:rowOff>151398</xdr:rowOff>
    </xdr:from>
    <xdr:to>
      <xdr:col>30</xdr:col>
      <xdr:colOff>787400</xdr:colOff>
      <xdr:row>23</xdr:row>
      <xdr:rowOff>190499</xdr:rowOff>
    </xdr:to>
    <xdr:pic>
      <xdr:nvPicPr>
        <xdr:cNvPr id="11" name="图片 10"/>
        <xdr:cNvPicPr>
          <a:picLocks noChangeAspect="1"/>
        </xdr:cNvPicPr>
      </xdr:nvPicPr>
      <xdr:blipFill>
        <a:blip xmlns:r="http://schemas.openxmlformats.org/officeDocument/2006/relationships" r:embed="rId8"/>
        <a:stretch>
          <a:fillRect/>
        </a:stretch>
      </xdr:blipFill>
      <xdr:spPr>
        <a:xfrm>
          <a:off x="17018000" y="3199398"/>
          <a:ext cx="8534400" cy="1372601"/>
        </a:xfrm>
        <a:prstGeom prst="rect">
          <a:avLst/>
        </a:prstGeom>
      </xdr:spPr>
    </xdr:pic>
    <xdr:clientData/>
  </xdr:twoCellAnchor>
  <xdr:twoCellAnchor editAs="oneCell">
    <xdr:from>
      <xdr:col>20</xdr:col>
      <xdr:colOff>546100</xdr:colOff>
      <xdr:row>24</xdr:row>
      <xdr:rowOff>22074</xdr:rowOff>
    </xdr:from>
    <xdr:to>
      <xdr:col>31</xdr:col>
      <xdr:colOff>812800</xdr:colOff>
      <xdr:row>32</xdr:row>
      <xdr:rowOff>50799</xdr:rowOff>
    </xdr:to>
    <xdr:pic>
      <xdr:nvPicPr>
        <xdr:cNvPr id="12" name="图片 11"/>
        <xdr:cNvPicPr>
          <a:picLocks noChangeAspect="1"/>
        </xdr:cNvPicPr>
      </xdr:nvPicPr>
      <xdr:blipFill>
        <a:blip xmlns:r="http://schemas.openxmlformats.org/officeDocument/2006/relationships" r:embed="rId9"/>
        <a:stretch>
          <a:fillRect/>
        </a:stretch>
      </xdr:blipFill>
      <xdr:spPr>
        <a:xfrm>
          <a:off x="17056100" y="4594074"/>
          <a:ext cx="9347200" cy="1552725"/>
        </a:xfrm>
        <a:prstGeom prst="rect">
          <a:avLst/>
        </a:prstGeom>
      </xdr:spPr>
    </xdr:pic>
    <xdr:clientData/>
  </xdr:twoCellAnchor>
  <xdr:twoCellAnchor editAs="oneCell">
    <xdr:from>
      <xdr:col>9</xdr:col>
      <xdr:colOff>339063</xdr:colOff>
      <xdr:row>7</xdr:row>
      <xdr:rowOff>165100</xdr:rowOff>
    </xdr:from>
    <xdr:to>
      <xdr:col>20</xdr:col>
      <xdr:colOff>256812</xdr:colOff>
      <xdr:row>15</xdr:row>
      <xdr:rowOff>101600</xdr:rowOff>
    </xdr:to>
    <xdr:pic>
      <xdr:nvPicPr>
        <xdr:cNvPr id="13" name="图片 12"/>
        <xdr:cNvPicPr>
          <a:picLocks noChangeAspect="1"/>
        </xdr:cNvPicPr>
      </xdr:nvPicPr>
      <xdr:blipFill>
        <a:blip xmlns:r="http://schemas.openxmlformats.org/officeDocument/2006/relationships" r:embed="rId10"/>
        <a:stretch>
          <a:fillRect/>
        </a:stretch>
      </xdr:blipFill>
      <xdr:spPr>
        <a:xfrm>
          <a:off x="7768563" y="1498600"/>
          <a:ext cx="8998249" cy="1460500"/>
        </a:xfrm>
        <a:prstGeom prst="rect">
          <a:avLst/>
        </a:prstGeom>
      </xdr:spPr>
    </xdr:pic>
    <xdr:clientData/>
  </xdr:twoCellAnchor>
  <xdr:twoCellAnchor editAs="oneCell">
    <xdr:from>
      <xdr:col>9</xdr:col>
      <xdr:colOff>406400</xdr:colOff>
      <xdr:row>16</xdr:row>
      <xdr:rowOff>76200</xdr:rowOff>
    </xdr:from>
    <xdr:to>
      <xdr:col>18</xdr:col>
      <xdr:colOff>419100</xdr:colOff>
      <xdr:row>43</xdr:row>
      <xdr:rowOff>12700</xdr:rowOff>
    </xdr:to>
    <xdr:pic>
      <xdr:nvPicPr>
        <xdr:cNvPr id="14" name="图片 13"/>
        <xdr:cNvPicPr>
          <a:picLocks noChangeAspect="1"/>
        </xdr:cNvPicPr>
      </xdr:nvPicPr>
      <xdr:blipFill>
        <a:blip xmlns:r="http://schemas.openxmlformats.org/officeDocument/2006/relationships" r:embed="rId11"/>
        <a:stretch>
          <a:fillRect/>
        </a:stretch>
      </xdr:blipFill>
      <xdr:spPr>
        <a:xfrm>
          <a:off x="7835900" y="3124200"/>
          <a:ext cx="7442200" cy="5080000"/>
        </a:xfrm>
        <a:prstGeom prst="rect">
          <a:avLst/>
        </a:prstGeom>
      </xdr:spPr>
    </xdr:pic>
    <xdr:clientData/>
  </xdr:twoCellAnchor>
  <xdr:twoCellAnchor editAs="oneCell">
    <xdr:from>
      <xdr:col>21</xdr:col>
      <xdr:colOff>145413</xdr:colOff>
      <xdr:row>35</xdr:row>
      <xdr:rowOff>0</xdr:rowOff>
    </xdr:from>
    <xdr:to>
      <xdr:col>29</xdr:col>
      <xdr:colOff>520698</xdr:colOff>
      <xdr:row>60</xdr:row>
      <xdr:rowOff>50800</xdr:rowOff>
    </xdr:to>
    <xdr:pic>
      <xdr:nvPicPr>
        <xdr:cNvPr id="15" name="图片 14"/>
        <xdr:cNvPicPr>
          <a:picLocks noChangeAspect="1"/>
        </xdr:cNvPicPr>
      </xdr:nvPicPr>
      <xdr:blipFill>
        <a:blip xmlns:r="http://schemas.openxmlformats.org/officeDocument/2006/relationships" r:embed="rId12"/>
        <a:stretch>
          <a:fillRect/>
        </a:stretch>
      </xdr:blipFill>
      <xdr:spPr>
        <a:xfrm>
          <a:off x="17480913" y="6667500"/>
          <a:ext cx="6979285" cy="4813300"/>
        </a:xfrm>
        <a:prstGeom prst="rect">
          <a:avLst/>
        </a:prstGeom>
      </xdr:spPr>
    </xdr:pic>
    <xdr:clientData/>
  </xdr:twoCellAnchor>
  <xdr:twoCellAnchor editAs="oneCell">
    <xdr:from>
      <xdr:col>21</xdr:col>
      <xdr:colOff>114300</xdr:colOff>
      <xdr:row>60</xdr:row>
      <xdr:rowOff>152400</xdr:rowOff>
    </xdr:from>
    <xdr:to>
      <xdr:col>29</xdr:col>
      <xdr:colOff>556809</xdr:colOff>
      <xdr:row>68</xdr:row>
      <xdr:rowOff>63499</xdr:rowOff>
    </xdr:to>
    <xdr:pic>
      <xdr:nvPicPr>
        <xdr:cNvPr id="16" name="图片 15"/>
        <xdr:cNvPicPr>
          <a:picLocks noChangeAspect="1"/>
        </xdr:cNvPicPr>
      </xdr:nvPicPr>
      <xdr:blipFill>
        <a:blip xmlns:r="http://schemas.openxmlformats.org/officeDocument/2006/relationships" r:embed="rId13"/>
        <a:stretch>
          <a:fillRect/>
        </a:stretch>
      </xdr:blipFill>
      <xdr:spPr>
        <a:xfrm>
          <a:off x="17449800" y="11582400"/>
          <a:ext cx="7046509" cy="1435099"/>
        </a:xfrm>
        <a:prstGeom prst="rect">
          <a:avLst/>
        </a:prstGeom>
      </xdr:spPr>
    </xdr:pic>
    <xdr:clientData/>
  </xdr:twoCellAnchor>
  <xdr:twoCellAnchor editAs="oneCell">
    <xdr:from>
      <xdr:col>21</xdr:col>
      <xdr:colOff>63500</xdr:colOff>
      <xdr:row>68</xdr:row>
      <xdr:rowOff>74946</xdr:rowOff>
    </xdr:from>
    <xdr:to>
      <xdr:col>29</xdr:col>
      <xdr:colOff>622300</xdr:colOff>
      <xdr:row>74</xdr:row>
      <xdr:rowOff>126998</xdr:rowOff>
    </xdr:to>
    <xdr:pic>
      <xdr:nvPicPr>
        <xdr:cNvPr id="17" name="图片 16"/>
        <xdr:cNvPicPr>
          <a:picLocks noChangeAspect="1"/>
        </xdr:cNvPicPr>
      </xdr:nvPicPr>
      <xdr:blipFill>
        <a:blip xmlns:r="http://schemas.openxmlformats.org/officeDocument/2006/relationships" r:embed="rId14"/>
        <a:stretch>
          <a:fillRect/>
        </a:stretch>
      </xdr:blipFill>
      <xdr:spPr>
        <a:xfrm>
          <a:off x="17399000" y="13028946"/>
          <a:ext cx="7162800" cy="1195052"/>
        </a:xfrm>
        <a:prstGeom prst="rect">
          <a:avLst/>
        </a:prstGeom>
      </xdr:spPr>
    </xdr:pic>
    <xdr:clientData/>
  </xdr:twoCellAnchor>
  <xdr:twoCellAnchor editAs="oneCell">
    <xdr:from>
      <xdr:col>21</xdr:col>
      <xdr:colOff>0</xdr:colOff>
      <xdr:row>74</xdr:row>
      <xdr:rowOff>108527</xdr:rowOff>
    </xdr:from>
    <xdr:to>
      <xdr:col>29</xdr:col>
      <xdr:colOff>800100</xdr:colOff>
      <xdr:row>80</xdr:row>
      <xdr:rowOff>190499</xdr:rowOff>
    </xdr:to>
    <xdr:pic>
      <xdr:nvPicPr>
        <xdr:cNvPr id="18" name="图片 17"/>
        <xdr:cNvPicPr>
          <a:picLocks noChangeAspect="1"/>
        </xdr:cNvPicPr>
      </xdr:nvPicPr>
      <xdr:blipFill>
        <a:blip xmlns:r="http://schemas.openxmlformats.org/officeDocument/2006/relationships" r:embed="rId15"/>
        <a:stretch>
          <a:fillRect/>
        </a:stretch>
      </xdr:blipFill>
      <xdr:spPr>
        <a:xfrm>
          <a:off x="17335500" y="14205527"/>
          <a:ext cx="7404100" cy="1224972"/>
        </a:xfrm>
        <a:prstGeom prst="rect">
          <a:avLst/>
        </a:prstGeom>
      </xdr:spPr>
    </xdr:pic>
    <xdr:clientData/>
  </xdr:twoCellAnchor>
  <xdr:twoCellAnchor editAs="oneCell">
    <xdr:from>
      <xdr:col>21</xdr:col>
      <xdr:colOff>0</xdr:colOff>
      <xdr:row>81</xdr:row>
      <xdr:rowOff>84372</xdr:rowOff>
    </xdr:from>
    <xdr:to>
      <xdr:col>31</xdr:col>
      <xdr:colOff>72249</xdr:colOff>
      <xdr:row>88</xdr:row>
      <xdr:rowOff>165099</xdr:rowOff>
    </xdr:to>
    <xdr:pic>
      <xdr:nvPicPr>
        <xdr:cNvPr id="19" name="图片 18"/>
        <xdr:cNvPicPr>
          <a:picLocks noChangeAspect="1"/>
        </xdr:cNvPicPr>
      </xdr:nvPicPr>
      <xdr:blipFill>
        <a:blip xmlns:r="http://schemas.openxmlformats.org/officeDocument/2006/relationships" r:embed="rId16"/>
        <a:stretch>
          <a:fillRect/>
        </a:stretch>
      </xdr:blipFill>
      <xdr:spPr>
        <a:xfrm>
          <a:off x="17335500" y="15514872"/>
          <a:ext cx="8327249" cy="1414227"/>
        </a:xfrm>
        <a:prstGeom prst="rect">
          <a:avLst/>
        </a:prstGeom>
      </xdr:spPr>
    </xdr:pic>
    <xdr:clientData/>
  </xdr:twoCellAnchor>
  <xdr:twoCellAnchor editAs="oneCell">
    <xdr:from>
      <xdr:col>21</xdr:col>
      <xdr:colOff>0</xdr:colOff>
      <xdr:row>88</xdr:row>
      <xdr:rowOff>166491</xdr:rowOff>
    </xdr:from>
    <xdr:to>
      <xdr:col>31</xdr:col>
      <xdr:colOff>9775</xdr:colOff>
      <xdr:row>96</xdr:row>
      <xdr:rowOff>114300</xdr:rowOff>
    </xdr:to>
    <xdr:pic>
      <xdr:nvPicPr>
        <xdr:cNvPr id="20" name="图片 19"/>
        <xdr:cNvPicPr>
          <a:picLocks noChangeAspect="1"/>
        </xdr:cNvPicPr>
      </xdr:nvPicPr>
      <xdr:blipFill>
        <a:blip xmlns:r="http://schemas.openxmlformats.org/officeDocument/2006/relationships" r:embed="rId17"/>
        <a:stretch>
          <a:fillRect/>
        </a:stretch>
      </xdr:blipFill>
      <xdr:spPr>
        <a:xfrm>
          <a:off x="17335500" y="16930491"/>
          <a:ext cx="8264775" cy="1471809"/>
        </a:xfrm>
        <a:prstGeom prst="rect">
          <a:avLst/>
        </a:prstGeom>
      </xdr:spPr>
    </xdr:pic>
    <xdr:clientData/>
  </xdr:twoCellAnchor>
  <xdr:twoCellAnchor editAs="oneCell">
    <xdr:from>
      <xdr:col>30</xdr:col>
      <xdr:colOff>152399</xdr:colOff>
      <xdr:row>62</xdr:row>
      <xdr:rowOff>96202</xdr:rowOff>
    </xdr:from>
    <xdr:to>
      <xdr:col>36</xdr:col>
      <xdr:colOff>5172</xdr:colOff>
      <xdr:row>79</xdr:row>
      <xdr:rowOff>101599</xdr:rowOff>
    </xdr:to>
    <xdr:pic>
      <xdr:nvPicPr>
        <xdr:cNvPr id="21" name="图片 20"/>
        <xdr:cNvPicPr>
          <a:picLocks noChangeAspect="1"/>
        </xdr:cNvPicPr>
      </xdr:nvPicPr>
      <xdr:blipFill>
        <a:blip xmlns:r="http://schemas.openxmlformats.org/officeDocument/2006/relationships" r:embed="rId18"/>
        <a:stretch>
          <a:fillRect/>
        </a:stretch>
      </xdr:blipFill>
      <xdr:spPr>
        <a:xfrm>
          <a:off x="24917399" y="11907202"/>
          <a:ext cx="4805773" cy="3243897"/>
        </a:xfrm>
        <a:prstGeom prst="rect">
          <a:avLst/>
        </a:prstGeom>
      </xdr:spPr>
    </xdr:pic>
    <xdr:clientData/>
  </xdr:twoCellAnchor>
  <xdr:twoCellAnchor editAs="oneCell">
    <xdr:from>
      <xdr:col>29</xdr:col>
      <xdr:colOff>774700</xdr:colOff>
      <xdr:row>42</xdr:row>
      <xdr:rowOff>25400</xdr:rowOff>
    </xdr:from>
    <xdr:to>
      <xdr:col>36</xdr:col>
      <xdr:colOff>711200</xdr:colOff>
      <xdr:row>62</xdr:row>
      <xdr:rowOff>25400</xdr:rowOff>
    </xdr:to>
    <xdr:pic>
      <xdr:nvPicPr>
        <xdr:cNvPr id="22" name="图片 21"/>
        <xdr:cNvPicPr>
          <a:picLocks noChangeAspect="1"/>
        </xdr:cNvPicPr>
      </xdr:nvPicPr>
      <xdr:blipFill>
        <a:blip xmlns:r="http://schemas.openxmlformats.org/officeDocument/2006/relationships" r:embed="rId19"/>
        <a:stretch>
          <a:fillRect/>
        </a:stretch>
      </xdr:blipFill>
      <xdr:spPr>
        <a:xfrm>
          <a:off x="24714200" y="8026400"/>
          <a:ext cx="5715000" cy="3810000"/>
        </a:xfrm>
        <a:prstGeom prst="rect">
          <a:avLst/>
        </a:prstGeom>
      </xdr:spPr>
    </xdr:pic>
    <xdr:clientData/>
  </xdr:twoCellAnchor>
  <xdr:twoCellAnchor editAs="oneCell">
    <xdr:from>
      <xdr:col>21</xdr:col>
      <xdr:colOff>254000</xdr:colOff>
      <xdr:row>98</xdr:row>
      <xdr:rowOff>9170</xdr:rowOff>
    </xdr:from>
    <xdr:to>
      <xdr:col>28</xdr:col>
      <xdr:colOff>711200</xdr:colOff>
      <xdr:row>118</xdr:row>
      <xdr:rowOff>88899</xdr:rowOff>
    </xdr:to>
    <xdr:pic>
      <xdr:nvPicPr>
        <xdr:cNvPr id="23" name="图片 22"/>
        <xdr:cNvPicPr>
          <a:picLocks noChangeAspect="1"/>
        </xdr:cNvPicPr>
      </xdr:nvPicPr>
      <xdr:blipFill>
        <a:blip xmlns:r="http://schemas.openxmlformats.org/officeDocument/2006/relationships" r:embed="rId20"/>
        <a:stretch>
          <a:fillRect/>
        </a:stretch>
      </xdr:blipFill>
      <xdr:spPr>
        <a:xfrm>
          <a:off x="17589500" y="18678170"/>
          <a:ext cx="6235700" cy="38897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25400</xdr:rowOff>
    </xdr:from>
    <xdr:to>
      <xdr:col>9</xdr:col>
      <xdr:colOff>0</xdr:colOff>
      <xdr:row>11</xdr:row>
      <xdr:rowOff>184093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400"/>
          <a:ext cx="7429500" cy="2254193"/>
        </a:xfrm>
        <a:prstGeom prst="rect">
          <a:avLst/>
        </a:prstGeom>
      </xdr:spPr>
    </xdr:pic>
    <xdr:clientData/>
  </xdr:twoCellAnchor>
  <xdr:twoCellAnchor editAs="oneCell">
    <xdr:from>
      <xdr:col>0</xdr:col>
      <xdr:colOff>0</xdr:colOff>
      <xdr:row>11</xdr:row>
      <xdr:rowOff>53414</xdr:rowOff>
    </xdr:from>
    <xdr:to>
      <xdr:col>10</xdr:col>
      <xdr:colOff>787400</xdr:colOff>
      <xdr:row>13</xdr:row>
      <xdr:rowOff>110237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148914"/>
          <a:ext cx="9042400" cy="437823"/>
        </a:xfrm>
        <a:prstGeom prst="rect">
          <a:avLst/>
        </a:prstGeom>
      </xdr:spPr>
    </xdr:pic>
    <xdr:clientData/>
  </xdr:twoCellAnchor>
  <xdr:twoCellAnchor editAs="oneCell">
    <xdr:from>
      <xdr:col>0</xdr:col>
      <xdr:colOff>0</xdr:colOff>
      <xdr:row>13</xdr:row>
      <xdr:rowOff>55244</xdr:rowOff>
    </xdr:from>
    <xdr:to>
      <xdr:col>10</xdr:col>
      <xdr:colOff>774700</xdr:colOff>
      <xdr:row>20</xdr:row>
      <xdr:rowOff>76199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31744"/>
          <a:ext cx="9029700" cy="1354455"/>
        </a:xfrm>
        <a:prstGeom prst="rect">
          <a:avLst/>
        </a:prstGeom>
      </xdr:spPr>
    </xdr:pic>
    <xdr:clientData/>
  </xdr:twoCellAnchor>
  <xdr:twoCellAnchor editAs="oneCell">
    <xdr:from>
      <xdr:col>0</xdr:col>
      <xdr:colOff>0</xdr:colOff>
      <xdr:row>20</xdr:row>
      <xdr:rowOff>128023</xdr:rowOff>
    </xdr:from>
    <xdr:to>
      <xdr:col>10</xdr:col>
      <xdr:colOff>787400</xdr:colOff>
      <xdr:row>25</xdr:row>
      <xdr:rowOff>177800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938023"/>
          <a:ext cx="9042400" cy="1002277"/>
        </a:xfrm>
        <a:prstGeom prst="rect">
          <a:avLst/>
        </a:prstGeom>
      </xdr:spPr>
    </xdr:pic>
    <xdr:clientData/>
  </xdr:twoCellAnchor>
  <xdr:twoCellAnchor editAs="oneCell">
    <xdr:from>
      <xdr:col>11</xdr:col>
      <xdr:colOff>139700</xdr:colOff>
      <xdr:row>10</xdr:row>
      <xdr:rowOff>165100</xdr:rowOff>
    </xdr:from>
    <xdr:to>
      <xdr:col>21</xdr:col>
      <xdr:colOff>241299</xdr:colOff>
      <xdr:row>29</xdr:row>
      <xdr:rowOff>31608</xdr:rowOff>
    </xdr:to>
    <xdr:pic>
      <xdr:nvPicPr>
        <xdr:cNvPr id="6" name="图片 5"/>
        <xdr:cNvPicPr>
          <a:picLocks noChangeAspect="1"/>
        </xdr:cNvPicPr>
      </xdr:nvPicPr>
      <xdr:blipFill>
        <a:blip xmlns:r="http://schemas.openxmlformats.org/officeDocument/2006/relationships" r:embed="rId5"/>
        <a:stretch>
          <a:fillRect/>
        </a:stretch>
      </xdr:blipFill>
      <xdr:spPr>
        <a:xfrm>
          <a:off x="9220200" y="2070100"/>
          <a:ext cx="8356599" cy="3486008"/>
        </a:xfrm>
        <a:prstGeom prst="rect">
          <a:avLst/>
        </a:prstGeom>
      </xdr:spPr>
    </xdr:pic>
    <xdr:clientData/>
  </xdr:twoCellAnchor>
  <xdr:twoCellAnchor editAs="oneCell">
    <xdr:from>
      <xdr:col>0</xdr:col>
      <xdr:colOff>0</xdr:colOff>
      <xdr:row>25</xdr:row>
      <xdr:rowOff>182977</xdr:rowOff>
    </xdr:from>
    <xdr:to>
      <xdr:col>10</xdr:col>
      <xdr:colOff>762000</xdr:colOff>
      <xdr:row>34</xdr:row>
      <xdr:rowOff>14557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945477"/>
          <a:ext cx="9017000" cy="1546080"/>
        </a:xfrm>
        <a:prstGeom prst="rect">
          <a:avLst/>
        </a:prstGeom>
      </xdr:spPr>
    </xdr:pic>
    <xdr:clientData/>
  </xdr:twoCellAnchor>
  <xdr:twoCellAnchor editAs="oneCell">
    <xdr:from>
      <xdr:col>9</xdr:col>
      <xdr:colOff>190500</xdr:colOff>
      <xdr:row>0</xdr:row>
      <xdr:rowOff>140748</xdr:rowOff>
    </xdr:from>
    <xdr:to>
      <xdr:col>17</xdr:col>
      <xdr:colOff>736600</xdr:colOff>
      <xdr:row>8</xdr:row>
      <xdr:rowOff>127000</xdr:rowOff>
    </xdr:to>
    <xdr:pic>
      <xdr:nvPicPr>
        <xdr:cNvPr id="8" name="图片 7"/>
        <xdr:cNvPicPr>
          <a:picLocks noChangeAspect="1"/>
        </xdr:cNvPicPr>
      </xdr:nvPicPr>
      <xdr:blipFill>
        <a:blip xmlns:r="http://schemas.openxmlformats.org/officeDocument/2006/relationships" r:embed="rId7"/>
        <a:stretch>
          <a:fillRect/>
        </a:stretch>
      </xdr:blipFill>
      <xdr:spPr>
        <a:xfrm>
          <a:off x="7620000" y="140748"/>
          <a:ext cx="7150100" cy="1510252"/>
        </a:xfrm>
        <a:prstGeom prst="rect">
          <a:avLst/>
        </a:prstGeom>
      </xdr:spPr>
    </xdr:pic>
    <xdr:clientData/>
  </xdr:twoCellAnchor>
  <xdr:twoCellAnchor editAs="oneCell">
    <xdr:from>
      <xdr:col>0</xdr:col>
      <xdr:colOff>0</xdr:colOff>
      <xdr:row>34</xdr:row>
      <xdr:rowOff>163454</xdr:rowOff>
    </xdr:from>
    <xdr:to>
      <xdr:col>9</xdr:col>
      <xdr:colOff>279400</xdr:colOff>
      <xdr:row>44</xdr:row>
      <xdr:rowOff>114300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6640454"/>
          <a:ext cx="7708900" cy="18558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lin/Desktop/&#33529;&#26524;&#31038;&#21306;/&#36710;&#20301;/&#27979;&#31639;-&#30334;&#23376;&#28286;&#36710;&#203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830;&#19994;&#22522;&#20934;&#22320;&#20215;&#31995;&#25968;&#20462;&#274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esktop/2022&#22522;&#20934;&#22320;&#20215;&#31995;&#25968;&#20462;&#27491;-&#31616;&#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物清单"/>
      <sheetName val="1号楼"/>
      <sheetName val="3号楼"/>
      <sheetName val="7号楼"/>
      <sheetName val="2号楼"/>
      <sheetName val="项目基本情况"/>
      <sheetName val="数据-基础表"/>
      <sheetName val="数据-汇总表"/>
      <sheetName val="数据-取费表"/>
      <sheetName val="结果表"/>
      <sheetName val="成本法 (元)"/>
      <sheetName val="假设开发法"/>
      <sheetName val="汇总表"/>
      <sheetName val="结果表-车位"/>
      <sheetName val="收益法-车位"/>
      <sheetName val="收益法-车位(元)"/>
      <sheetName val="比较法-车位"/>
      <sheetName val="车位成交案例"/>
      <sheetName val="车位租金"/>
      <sheetName val="结果表-库房"/>
      <sheetName val="收益法-库房"/>
      <sheetName val="库房租金案例"/>
      <sheetName val="工作表2"/>
      <sheetName val="收益法"/>
      <sheetName val="收益法-酒店模型"/>
      <sheetName val="成本法-商业"/>
      <sheetName val="收益法（汇总）"/>
      <sheetName val="比较法-住宅"/>
      <sheetName val="比较法-商业"/>
      <sheetName val="比较法-办公"/>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
      <sheetName val="典型户型修正"/>
      <sheetName val="系统读取表"/>
      <sheetName val="估价对象房地状况"/>
      <sheetName val="定义"/>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M1">
            <v>15002</v>
          </cell>
        </row>
        <row r="4">
          <cell r="H4">
            <v>8983</v>
          </cell>
          <cell r="Q4">
            <v>4285</v>
          </cell>
          <cell r="Z4">
            <v>1012</v>
          </cell>
          <cell r="AI4">
            <v>722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1">
          <cell r="C31">
            <v>34678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1">
          <cell r="C31">
            <v>21738</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vmlDrawing" Target="../drawings/vmlDrawing7.vml"/><Relationship Id="rId3"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8.vml"/><Relationship Id="rId3"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 Id="rId2"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vmlDrawing" Target="../drawings/vmlDrawing9.vml"/><Relationship Id="rId3"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 Id="rId2" Type="http://schemas.openxmlformats.org/officeDocument/2006/relationships/vmlDrawing" Target="../drawings/vmlDrawing10.vml"/><Relationship Id="rId3" Type="http://schemas.openxmlformats.org/officeDocument/2006/relationships/comments" Target="../comments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vmlDrawing" Target="../drawings/vmlDrawing11.vml"/><Relationship Id="rId3"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 Id="rId2" Type="http://schemas.openxmlformats.org/officeDocument/2006/relationships/vmlDrawing" Target="../drawings/vmlDrawing12.vml"/><Relationship Id="rId3"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 Id="rId2" Type="http://schemas.openxmlformats.org/officeDocument/2006/relationships/vmlDrawing" Target="../drawings/vmlDrawing13.vml"/><Relationship Id="rId3"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 Id="rId2" Type="http://schemas.openxmlformats.org/officeDocument/2006/relationships/vmlDrawing" Target="../drawings/vmlDrawing14.vml"/><Relationship Id="rId3"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 Id="rId2" Type="http://schemas.openxmlformats.org/officeDocument/2006/relationships/vmlDrawing" Target="../drawings/vmlDrawing15.vml"/><Relationship Id="rId3"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 Id="rId2" Type="http://schemas.openxmlformats.org/officeDocument/2006/relationships/vmlDrawing" Target="../drawings/vmlDrawing16.vml"/><Relationship Id="rId3"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 Id="rId2" Type="http://schemas.openxmlformats.org/officeDocument/2006/relationships/vmlDrawing" Target="../drawings/vmlDrawing17.vml"/><Relationship Id="rId3"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 Id="rId2" Type="http://schemas.openxmlformats.org/officeDocument/2006/relationships/vmlDrawing" Target="../drawings/vmlDrawing18.vml"/><Relationship Id="rId3"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 Id="rId2" Type="http://schemas.openxmlformats.org/officeDocument/2006/relationships/vmlDrawing" Target="../drawings/vmlDrawing19.vml"/><Relationship Id="rId3"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 Id="rId2" Type="http://schemas.openxmlformats.org/officeDocument/2006/relationships/vmlDrawing" Target="../drawings/vmlDrawing20.vml"/><Relationship Id="rId3"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 Id="rId2" Type="http://schemas.openxmlformats.org/officeDocument/2006/relationships/vmlDrawing" Target="../drawings/vmlDrawing21.vml"/><Relationship Id="rId3"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 Id="rId2" Type="http://schemas.openxmlformats.org/officeDocument/2006/relationships/vmlDrawing" Target="../drawings/vmlDrawing22.vml"/><Relationship Id="rId3"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 Id="rId2" Type="http://schemas.openxmlformats.org/officeDocument/2006/relationships/vmlDrawing" Target="../drawings/vmlDrawing23.vml"/><Relationship Id="rId3"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 Id="rId2" Type="http://schemas.openxmlformats.org/officeDocument/2006/relationships/vmlDrawing" Target="../drawings/vmlDrawing24.vml"/><Relationship Id="rId3"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 Id="rId2" Type="http://schemas.openxmlformats.org/officeDocument/2006/relationships/vmlDrawing" Target="../drawings/vmlDrawing25.vml"/><Relationship Id="rId3"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 Id="rId2" Type="http://schemas.openxmlformats.org/officeDocument/2006/relationships/vmlDrawing" Target="../drawings/vmlDrawing26.vml"/><Relationship Id="rId3"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 Id="rId2" Type="http://schemas.openxmlformats.org/officeDocument/2006/relationships/vmlDrawing" Target="../drawings/vmlDrawing28.vml"/><Relationship Id="rId3" Type="http://schemas.openxmlformats.org/officeDocument/2006/relationships/comments" Target="../comments23.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 Id="rId2" Type="http://schemas.openxmlformats.org/officeDocument/2006/relationships/vmlDrawing" Target="../drawings/vmlDrawing6.vml"/><Relationship Id="rId3"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workbookViewId="0">
      <selection activeCell="B19" sqref="B19"/>
    </sheetView>
  </sheetViews>
  <sheetFormatPr baseColWidth="10" defaultColWidth="9" defaultRowHeight="16" x14ac:dyDescent="0.2"/>
  <cols>
    <col min="1" max="1" width="35.6640625" style="1308" customWidth="1"/>
    <col min="2" max="2" width="81" style="1325" customWidth="1"/>
    <col min="3" max="16384" width="9" style="1323"/>
  </cols>
  <sheetData>
    <row r="1" spans="1:2" s="1311" customFormat="1" ht="17" thickBot="1" x14ac:dyDescent="0.25">
      <c r="A1" s="1310" t="s">
        <v>946</v>
      </c>
      <c r="B1" s="1309" t="s">
        <v>1025</v>
      </c>
    </row>
    <row r="2" spans="1:2" s="1314" customFormat="1" ht="17" thickTop="1" x14ac:dyDescent="0.2">
      <c r="A2" s="1312" t="s">
        <v>947</v>
      </c>
      <c r="B2" s="1313" t="str">
        <f>'预评函-封皮'!B37:I37</f>
        <v>北京市房地产市场价值预评估</v>
      </c>
    </row>
    <row r="3" spans="1:2" s="1317" customFormat="1" x14ac:dyDescent="0.2">
      <c r="A3" s="1315" t="s">
        <v>948</v>
      </c>
      <c r="B3" s="1316">
        <f>'预评函-封皮'!B40</f>
        <v>0</v>
      </c>
    </row>
    <row r="4" spans="1:2" s="1317" customFormat="1" x14ac:dyDescent="0.2">
      <c r="A4" s="1315" t="s">
        <v>949</v>
      </c>
      <c r="B4" s="1316" t="str">
        <f ca="1">'预评函-封皮'!B46</f>
        <v>梁津（注册号：0)、陈颖（注册号：1120060040)</v>
      </c>
    </row>
    <row r="5" spans="1:2" s="1311" customFormat="1" ht="17" thickBot="1" x14ac:dyDescent="0.25">
      <c r="A5" s="1318" t="s">
        <v>950</v>
      </c>
      <c r="B5" s="1319" t="str">
        <f>'预评函-封皮'!B49</f>
        <v>康正预评字号</v>
      </c>
    </row>
    <row r="6" spans="1:2" s="1314" customFormat="1" ht="17" thickTop="1" x14ac:dyDescent="0.2">
      <c r="A6" s="1312" t="s">
        <v>951</v>
      </c>
      <c r="B6" s="1313" t="str">
        <f>'预评函-1'!A4</f>
        <v>受贵公司委托，我公司对北京市房地产市场价值进行了预评估。</v>
      </c>
    </row>
    <row r="7" spans="1:2" s="1317" customFormat="1" x14ac:dyDescent="0.2">
      <c r="A7" s="1315" t="s">
        <v>991</v>
      </c>
      <c r="B7" s="1316" t="str">
        <f>'预评函-1'!A7</f>
        <v>估价对象为北京市房地产，为所有。根据《国有土地使用证》[]，估价对象（分摊）出让国有建设用地使用权面积为0平方米，建筑面积为58.81平方米。</v>
      </c>
    </row>
    <row r="8" spans="1:2" s="1317" customFormat="1" x14ac:dyDescent="0.2">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x14ac:dyDescent="0.2">
      <c r="A9" s="1315" t="s">
        <v>993</v>
      </c>
      <c r="B9" s="1316" t="str">
        <f>'预评函-1'!A10</f>
        <v>估价对象为北京市房地产,属开发建设的居住项目，该项目尚在开发建设中。根据《国有土地使用证》[]，估价对象（分摊）出让国有建设用地使用权面积为0平方米，规划建筑面积为58.81平方米。</v>
      </c>
    </row>
    <row r="10" spans="1:2" s="1317" customFormat="1" x14ac:dyDescent="0.2">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x14ac:dyDescent="0.2">
      <c r="A11" s="1315" t="s">
        <v>952</v>
      </c>
      <c r="B11" s="1316" t="str">
        <f>'预评函-1'!A13</f>
        <v>为估价委托人了解估价对象房地产市场价值提供参考依据。</v>
      </c>
    </row>
    <row r="12" spans="1:2" s="1317" customFormat="1" x14ac:dyDescent="0.2">
      <c r="A12" s="1315" t="s">
        <v>953</v>
      </c>
      <c r="B12" s="1316" t="str">
        <f>'预评函-1'!A15</f>
        <v>2022年11月3日（评估专业人员实地查勘之日）</v>
      </c>
    </row>
    <row r="13" spans="1:2" s="1317" customFormat="1" x14ac:dyDescent="0.2">
      <c r="A13" s="1315" t="s">
        <v>954</v>
      </c>
      <c r="B13" s="1316" t="str">
        <f>'预评函-1'!A18</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4" spans="1:2" s="1317" customFormat="1" x14ac:dyDescent="0.2">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x14ac:dyDescent="0.2">
      <c r="A15" s="1315" t="s">
        <v>956</v>
      </c>
      <c r="B15" s="1316" t="str">
        <f>'预评函-1'!A20</f>
        <v>——</v>
      </c>
    </row>
    <row r="16" spans="1:2" s="1317" customFormat="1" x14ac:dyDescent="0.2">
      <c r="A16" s="1315" t="s">
        <v>957</v>
      </c>
      <c r="B16" s="1316" t="str">
        <f>'预评函-1'!A21</f>
        <v>——</v>
      </c>
    </row>
    <row r="17" spans="1:2" s="1317" customFormat="1" x14ac:dyDescent="0.2">
      <c r="A17" s="1315" t="s">
        <v>958</v>
      </c>
      <c r="B17" s="1316" t="str">
        <f>'预评函-1'!A22</f>
        <v>——</v>
      </c>
    </row>
    <row r="18" spans="1:2" s="1311" customFormat="1" ht="17" thickBot="1" x14ac:dyDescent="0.25">
      <c r="A18" s="1318" t="s">
        <v>959</v>
      </c>
      <c r="B18" s="1319" t="str">
        <f>'预评函-1'!A24</f>
        <v>本次评估采用的主估价方法为收益法和成本法。</v>
      </c>
    </row>
    <row r="19" spans="1:2" s="1314" customFormat="1" ht="17" thickTop="1" x14ac:dyDescent="0.2">
      <c r="A19" s="1312" t="s">
        <v>960</v>
      </c>
      <c r="B19" s="13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17" customFormat="1" x14ac:dyDescent="0.2">
      <c r="A20" s="1315" t="s">
        <v>961</v>
      </c>
      <c r="B20" s="1316" t="e">
        <f ca="1">'预评函-2'!D5</f>
        <v>#REF!</v>
      </c>
    </row>
    <row r="21" spans="1:2" s="1317" customFormat="1" x14ac:dyDescent="0.2">
      <c r="A21" s="1315" t="s">
        <v>962</v>
      </c>
      <c r="B21" s="1316" t="e">
        <f ca="1">'预评函-2'!D7</f>
        <v>#REF!</v>
      </c>
    </row>
    <row r="22" spans="1:2" s="1317" customFormat="1" x14ac:dyDescent="0.2">
      <c r="A22" s="1315" t="s">
        <v>963</v>
      </c>
      <c r="B22" s="1316" t="e">
        <f ca="1">'预评函-2'!D6</f>
        <v>#REF!</v>
      </c>
    </row>
    <row r="23" spans="1:2" s="1317" customFormat="1" x14ac:dyDescent="0.2">
      <c r="A23" s="1315" t="s">
        <v>1014</v>
      </c>
      <c r="B23" s="1316" t="str">
        <f>'预评函-2'!B8</f>
        <v>2.估价师知悉的法定优先受偿款</v>
      </c>
    </row>
    <row r="24" spans="1:2" s="1317" customFormat="1" x14ac:dyDescent="0.2">
      <c r="A24" s="1315" t="s">
        <v>1020</v>
      </c>
      <c r="B24" s="1316">
        <f>'预评函-2'!D8</f>
        <v>0</v>
      </c>
    </row>
    <row r="25" spans="1:2" s="1317" customFormat="1" x14ac:dyDescent="0.2">
      <c r="A25" s="1315" t="s">
        <v>964</v>
      </c>
      <c r="B25" s="1316" t="str">
        <f>'预评函-2'!D9</f>
        <v>零元整</v>
      </c>
    </row>
    <row r="26" spans="1:2" s="1317" customFormat="1" x14ac:dyDescent="0.2">
      <c r="A26" s="1315" t="s">
        <v>965</v>
      </c>
      <c r="B26" s="1316">
        <f>'预评函-2'!D10</f>
        <v>0</v>
      </c>
    </row>
    <row r="27" spans="1:2" s="1317" customFormat="1" x14ac:dyDescent="0.2">
      <c r="A27" s="1315" t="s">
        <v>966</v>
      </c>
      <c r="B27" s="1316">
        <f>'预评函-2'!D11</f>
        <v>0</v>
      </c>
    </row>
    <row r="28" spans="1:2" s="1317" customFormat="1" x14ac:dyDescent="0.2">
      <c r="A28" s="1315" t="s">
        <v>967</v>
      </c>
      <c r="B28" s="1316">
        <f>'预评函-2'!D12</f>
        <v>0</v>
      </c>
    </row>
    <row r="29" spans="1:2" s="1317" customFormat="1" x14ac:dyDescent="0.2">
      <c r="A29" s="1315" t="s">
        <v>1018</v>
      </c>
      <c r="B29" s="1316" t="str">
        <f>'预评函-2'!B13</f>
        <v>3.房地产抵押价值</v>
      </c>
    </row>
    <row r="30" spans="1:2" s="1317" customFormat="1" x14ac:dyDescent="0.2">
      <c r="A30" s="1315" t="s">
        <v>1019</v>
      </c>
      <c r="B30" s="1316" t="e">
        <f ca="1">'预评函-2'!D13</f>
        <v>#REF!</v>
      </c>
    </row>
    <row r="31" spans="1:2" s="1317" customFormat="1" x14ac:dyDescent="0.2">
      <c r="A31" s="1315" t="s">
        <v>1001</v>
      </c>
      <c r="B31" s="1316" t="e">
        <f ca="1">'预评函-2'!D15</f>
        <v>#REF!</v>
      </c>
    </row>
    <row r="32" spans="1:2" s="1317" customFormat="1" x14ac:dyDescent="0.2">
      <c r="A32" s="1315" t="s">
        <v>968</v>
      </c>
      <c r="B32" s="1316" t="e">
        <f ca="1">'预评函-2'!D14</f>
        <v>#REF!</v>
      </c>
    </row>
    <row r="33" spans="1:2" s="1317" customFormat="1" x14ac:dyDescent="0.2">
      <c r="A33" s="1315" t="s">
        <v>1003</v>
      </c>
      <c r="B33" s="1316" t="str">
        <f>'预评函-2'!B16</f>
        <v>——</v>
      </c>
    </row>
    <row r="34" spans="1:2" s="1317" customFormat="1" x14ac:dyDescent="0.2">
      <c r="A34" s="1315" t="s">
        <v>1021</v>
      </c>
      <c r="B34" s="1316" t="str">
        <f>'预评函-2'!D16</f>
        <v>——</v>
      </c>
    </row>
    <row r="35" spans="1:2" s="1317" customFormat="1" x14ac:dyDescent="0.2">
      <c r="A35" s="1315" t="s">
        <v>1002</v>
      </c>
      <c r="B35" s="1316" t="str">
        <f>'预评函-2'!D18</f>
        <v>——</v>
      </c>
    </row>
    <row r="36" spans="1:2" s="1317" customFormat="1" x14ac:dyDescent="0.2">
      <c r="A36" s="1315" t="s">
        <v>969</v>
      </c>
      <c r="B36" s="1316" t="e">
        <f>'预评函-2'!D17</f>
        <v>#VALUE!</v>
      </c>
    </row>
    <row r="37" spans="1:2" s="1317" customFormat="1" x14ac:dyDescent="0.2">
      <c r="A37" s="1315" t="s">
        <v>1004</v>
      </c>
      <c r="B37" s="1316" t="str">
        <f>'预评函-2'!B19</f>
        <v>——</v>
      </c>
    </row>
    <row r="38" spans="1:2" s="1317" customFormat="1" x14ac:dyDescent="0.2">
      <c r="A38" s="1315" t="s">
        <v>1022</v>
      </c>
      <c r="B38" s="1316" t="str">
        <f>'预评函-2'!D19</f>
        <v>——</v>
      </c>
    </row>
    <row r="39" spans="1:2" s="1317" customFormat="1" x14ac:dyDescent="0.2">
      <c r="A39" s="1315" t="s">
        <v>970</v>
      </c>
      <c r="B39" s="1316" t="str">
        <f>'预评函-2'!D21</f>
        <v>——</v>
      </c>
    </row>
    <row r="40" spans="1:2" s="1317" customFormat="1" x14ac:dyDescent="0.2">
      <c r="A40" s="1315" t="s">
        <v>971</v>
      </c>
      <c r="B40" s="1316" t="e">
        <f>'预评函-2'!D20</f>
        <v>#VALUE!</v>
      </c>
    </row>
    <row r="41" spans="1:2" s="1317" customFormat="1" x14ac:dyDescent="0.2">
      <c r="A41" s="1315" t="s">
        <v>1017</v>
      </c>
      <c r="B41" s="1316" t="str">
        <f>'预评函-3'!A4</f>
        <v>北京市房地产</v>
      </c>
    </row>
    <row r="42" spans="1:2" s="1317" customFormat="1" x14ac:dyDescent="0.2">
      <c r="A42" s="1315" t="s">
        <v>1015</v>
      </c>
      <c r="B42" s="1316" t="str">
        <f>'预评函-3'!B2</f>
        <v>建筑面积</v>
      </c>
    </row>
    <row r="43" spans="1:2" s="1317" customFormat="1" x14ac:dyDescent="0.2">
      <c r="A43" s="1315" t="s">
        <v>1016</v>
      </c>
      <c r="B43" s="1316">
        <f>'预评函-3'!B4</f>
        <v>58.81</v>
      </c>
    </row>
    <row r="44" spans="1:2" s="1317" customFormat="1" x14ac:dyDescent="0.2">
      <c r="A44" s="1315" t="s">
        <v>1000</v>
      </c>
      <c r="B44" s="1316" t="str">
        <f>'预评函-3'!C2</f>
        <v>(分摊)土地面积</v>
      </c>
    </row>
    <row r="45" spans="1:2" s="1317" customFormat="1" x14ac:dyDescent="0.2">
      <c r="A45" s="1315" t="s">
        <v>972</v>
      </c>
      <c r="B45" s="1316">
        <f>'预评函-3'!C4</f>
        <v>0</v>
      </c>
    </row>
    <row r="46" spans="1:2" s="1317" customFormat="1" x14ac:dyDescent="0.2">
      <c r="A46" s="1315" t="s">
        <v>998</v>
      </c>
      <c r="B46" s="1316" t="str">
        <f>'预评函-3'!D2</f>
        <v>出让国有建设用地使用权价值</v>
      </c>
    </row>
    <row r="47" spans="1:2" s="1317" customFormat="1" x14ac:dyDescent="0.2">
      <c r="A47" s="1315" t="s">
        <v>973</v>
      </c>
      <c r="B47" s="1316" t="e">
        <f ca="1">'预评函-3'!D4</f>
        <v>#REF!</v>
      </c>
    </row>
    <row r="48" spans="1:2" s="1317" customFormat="1" x14ac:dyDescent="0.2">
      <c r="A48" s="1315" t="s">
        <v>974</v>
      </c>
      <c r="B48" s="1316" t="e">
        <f ca="1">'预评函-3'!E4</f>
        <v>#REF!</v>
      </c>
    </row>
    <row r="49" spans="1:2" s="1317" customFormat="1" x14ac:dyDescent="0.2">
      <c r="A49" s="1315" t="s">
        <v>975</v>
      </c>
      <c r="B49" s="1316" t="e">
        <f ca="1">'预评函-3'!D5</f>
        <v>#REF!</v>
      </c>
    </row>
    <row r="50" spans="1:2" s="1317" customFormat="1" x14ac:dyDescent="0.2">
      <c r="A50" s="1315" t="s">
        <v>999</v>
      </c>
      <c r="B50" s="1316" t="str">
        <f>'预评函-3'!F2</f>
        <v>在建建筑物价值</v>
      </c>
    </row>
    <row r="51" spans="1:2" s="1317" customFormat="1" x14ac:dyDescent="0.2">
      <c r="A51" s="1315" t="s">
        <v>976</v>
      </c>
      <c r="B51" s="1316" t="e">
        <f ca="1">'预评函-3'!F4</f>
        <v>#REF!</v>
      </c>
    </row>
    <row r="52" spans="1:2" s="1317" customFormat="1" x14ac:dyDescent="0.2">
      <c r="A52" s="1315" t="s">
        <v>977</v>
      </c>
      <c r="B52" s="1316" t="e">
        <f ca="1">'预评函-3'!G4</f>
        <v>#REF!</v>
      </c>
    </row>
    <row r="53" spans="1:2" s="1317" customFormat="1" x14ac:dyDescent="0.2">
      <c r="A53" s="1315" t="s">
        <v>1005</v>
      </c>
      <c r="B53" s="1316" t="e">
        <f ca="1">'预评函-3'!F5</f>
        <v>#REF!</v>
      </c>
    </row>
    <row r="54" spans="1:2" s="1317" customFormat="1" x14ac:dyDescent="0.2">
      <c r="A54" s="1315" t="s">
        <v>1023</v>
      </c>
      <c r="B54" s="1316" t="str">
        <f>'预评函-3'!A8</f>
        <v/>
      </c>
    </row>
    <row r="55" spans="1:2" s="1317" customFormat="1" x14ac:dyDescent="0.2">
      <c r="A55" s="1315" t="s">
        <v>1006</v>
      </c>
      <c r="B55" s="1316" t="str">
        <f>'预评函-3'!A10</f>
        <v/>
      </c>
    </row>
    <row r="56" spans="1:2" s="1317" customFormat="1" x14ac:dyDescent="0.2">
      <c r="A56" s="1315" t="s">
        <v>1007</v>
      </c>
      <c r="B56" s="1316" t="str">
        <f>'预评函-3'!A12</f>
        <v/>
      </c>
    </row>
    <row r="57" spans="1:2" s="1311" customFormat="1" ht="17" thickBot="1" x14ac:dyDescent="0.25">
      <c r="A57" s="1318" t="s">
        <v>1024</v>
      </c>
      <c r="B57" s="1319" t="str">
        <f>'预评函-3'!A6</f>
        <v/>
      </c>
    </row>
    <row r="58" spans="1:2" s="1314" customFormat="1" ht="17" thickTop="1" x14ac:dyDescent="0.2">
      <c r="A58" s="1312" t="s">
        <v>978</v>
      </c>
      <c r="B58" s="1313" t="str">
        <f>'预评函-4'!A12</f>
        <v>2.本次评估设定估价对象房地产权属无争议，未被查封或者以其他形式限制其房地产权利，未设定抵押权等他项权利，不涉及第三方权利义务。</v>
      </c>
    </row>
    <row r="59" spans="1:2" s="1317" customFormat="1" x14ac:dyDescent="0.2">
      <c r="A59" s="1315" t="s">
        <v>979</v>
      </c>
      <c r="B59" s="1316" t="str">
        <f>'预评函-4'!A13</f>
        <v>——</v>
      </c>
    </row>
    <row r="60" spans="1:2" s="1317" customFormat="1" x14ac:dyDescent="0.2">
      <c r="A60" s="1315" t="s">
        <v>980</v>
      </c>
      <c r="B60" s="1316" t="str">
        <f>'预评函-4'!A14</f>
        <v>——</v>
      </c>
    </row>
    <row r="61" spans="1:2" s="1317" customFormat="1" x14ac:dyDescent="0.2">
      <c r="A61" s="1315" t="s">
        <v>981</v>
      </c>
      <c r="B61" s="1316" t="str">
        <f>'预评函-4'!A15</f>
        <v>——</v>
      </c>
    </row>
    <row r="62" spans="1:2" s="1317" customFormat="1" x14ac:dyDescent="0.2">
      <c r="A62" s="1315" t="s">
        <v>982</v>
      </c>
      <c r="B62" s="1316" t="str">
        <f>'预评函-4'!A16</f>
        <v>（2）根据《工程款支付情况说明》，截至价值时点，估价对象不存在应付未付工程款项。（只要没有施工方盖章的，均“设定”进行表述）</v>
      </c>
    </row>
    <row r="63" spans="1:2" s="1317" customFormat="1" x14ac:dyDescent="0.2">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x14ac:dyDescent="0.2">
      <c r="A64" s="1315" t="s">
        <v>995</v>
      </c>
      <c r="B64" s="1316" t="str">
        <f>'预评函-4'!A18</f>
        <v>——</v>
      </c>
    </row>
    <row r="65" spans="1:2" s="1317" customFormat="1" x14ac:dyDescent="0.2">
      <c r="A65" s="1315" t="s">
        <v>984</v>
      </c>
      <c r="B65" s="13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x14ac:dyDescent="0.2">
      <c r="A66" s="1315" t="s">
        <v>985</v>
      </c>
      <c r="B66" s="131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x14ac:dyDescent="0.2">
      <c r="A67" s="1315" t="s">
        <v>996</v>
      </c>
      <c r="B67" s="131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x14ac:dyDescent="0.2">
      <c r="A68" s="1315" t="s">
        <v>997</v>
      </c>
      <c r="B68" s="1316" t="str">
        <f>'预评函-4'!A22</f>
        <v>8.其他需特殊说明事项：无（注意调整序号）</v>
      </c>
    </row>
    <row r="69" spans="1:2" s="1311" customFormat="1" ht="17" thickBot="1" x14ac:dyDescent="0.25">
      <c r="A69" s="1318" t="s">
        <v>986</v>
      </c>
      <c r="B69" s="1320">
        <f>'预评函-4'!C31</f>
        <v>42551</v>
      </c>
    </row>
    <row r="70" spans="1:2" ht="17" thickTop="1" x14ac:dyDescent="0.2">
      <c r="A70" s="1321" t="s">
        <v>987</v>
      </c>
      <c r="B70" s="1322" t="str">
        <f>'预评函-4'!A4</f>
        <v>梁津</v>
      </c>
    </row>
    <row r="71" spans="1:2" x14ac:dyDescent="0.2">
      <c r="A71" s="1315" t="s">
        <v>988</v>
      </c>
      <c r="B71" s="1316">
        <f ca="1">'预评函-4'!B4</f>
        <v>0</v>
      </c>
    </row>
    <row r="72" spans="1:2" x14ac:dyDescent="0.2">
      <c r="A72" s="1315" t="s">
        <v>989</v>
      </c>
      <c r="B72" s="1324" t="str">
        <f>'预评函-4'!A5</f>
        <v>陈颖</v>
      </c>
    </row>
    <row r="73" spans="1:2" s="1311" customFormat="1" ht="17" thickBot="1" x14ac:dyDescent="0.25">
      <c r="A73" s="1318" t="s">
        <v>990</v>
      </c>
      <c r="B73" s="1319">
        <f ca="1">'预评函-4'!B5</f>
        <v>1120060040</v>
      </c>
    </row>
    <row r="74" spans="1:2" ht="17" thickTop="1" x14ac:dyDescent="0.2">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K1224"/>
  <sheetViews>
    <sheetView topLeftCell="A4" workbookViewId="0">
      <selection activeCell="L1235" sqref="L1235"/>
    </sheetView>
  </sheetViews>
  <sheetFormatPr baseColWidth="10" defaultColWidth="9" defaultRowHeight="15" x14ac:dyDescent="0.2"/>
  <cols>
    <col min="1" max="1" width="7.1640625" style="1359" customWidth="1"/>
    <col min="2" max="2" width="9" style="1359"/>
    <col min="3" max="3" width="14.83203125" style="1359" customWidth="1"/>
    <col min="4" max="4" width="5.1640625" style="1359" hidden="1" customWidth="1"/>
    <col min="5" max="5" width="9" style="1359"/>
    <col min="6" max="6" width="7.5" style="1359" customWidth="1"/>
    <col min="7" max="7" width="8.1640625" style="1359" customWidth="1"/>
    <col min="8" max="8" width="7.5" style="1359" customWidth="1"/>
    <col min="9" max="9" width="11" style="1359" customWidth="1"/>
    <col min="10" max="16384" width="9" style="1359"/>
  </cols>
  <sheetData>
    <row r="1" spans="1:11" ht="11.25" customHeight="1" x14ac:dyDescent="0.2">
      <c r="A1" s="3416" t="s">
        <v>4449</v>
      </c>
      <c r="B1" s="3416"/>
      <c r="C1" s="3416"/>
      <c r="D1" s="3416"/>
      <c r="E1" s="3416"/>
      <c r="F1" s="3416"/>
      <c r="G1" s="3416"/>
      <c r="H1" s="3416"/>
      <c r="I1" s="3416"/>
    </row>
    <row r="2" spans="1:11" ht="11.25" customHeight="1" x14ac:dyDescent="0.2">
      <c r="A2" s="3416"/>
      <c r="B2" s="3416"/>
      <c r="C2" s="3416"/>
      <c r="D2" s="3416"/>
      <c r="E2" s="3416"/>
      <c r="F2" s="3416"/>
      <c r="G2" s="3416"/>
      <c r="H2" s="3416"/>
      <c r="I2" s="3416"/>
    </row>
    <row r="3" spans="1:11" ht="11.25" customHeight="1" x14ac:dyDescent="0.2">
      <c r="A3" s="3238" t="s">
        <v>4450</v>
      </c>
      <c r="B3" s="3239"/>
      <c r="C3" s="3239"/>
      <c r="D3" s="3238"/>
      <c r="E3" s="3238"/>
      <c r="F3" s="3238"/>
      <c r="G3" s="3238"/>
      <c r="H3" s="3239"/>
      <c r="I3" s="3239"/>
    </row>
    <row r="4" spans="1:11" s="3240" customFormat="1" ht="11.25" customHeight="1" x14ac:dyDescent="0.15">
      <c r="A4" s="3417" t="s">
        <v>4451</v>
      </c>
      <c r="B4" s="3417" t="s">
        <v>3177</v>
      </c>
      <c r="C4" s="3417" t="s">
        <v>4452</v>
      </c>
      <c r="D4" s="3417" t="s">
        <v>4453</v>
      </c>
      <c r="E4" s="3417" t="s">
        <v>3182</v>
      </c>
      <c r="F4" s="3417"/>
      <c r="G4" s="3417" t="s">
        <v>4454</v>
      </c>
      <c r="H4" s="3417" t="s">
        <v>4455</v>
      </c>
      <c r="I4" s="3417" t="s">
        <v>4456</v>
      </c>
    </row>
    <row r="5" spans="1:11" s="3240" customFormat="1" ht="11.25" customHeight="1" x14ac:dyDescent="0.15">
      <c r="A5" s="3417"/>
      <c r="B5" s="3417"/>
      <c r="C5" s="3417"/>
      <c r="D5" s="3417"/>
      <c r="E5" s="3237" t="s">
        <v>4457</v>
      </c>
      <c r="F5" s="3417" t="s">
        <v>4458</v>
      </c>
      <c r="G5" s="3417"/>
      <c r="H5" s="3417"/>
      <c r="I5" s="3417"/>
    </row>
    <row r="6" spans="1:11" s="3240" customFormat="1" ht="11.25" customHeight="1" x14ac:dyDescent="0.15">
      <c r="A6" s="3417"/>
      <c r="B6" s="3417"/>
      <c r="C6" s="3417"/>
      <c r="D6" s="3417"/>
      <c r="E6" s="3237" t="s">
        <v>4459</v>
      </c>
      <c r="F6" s="3417"/>
      <c r="G6" s="3417"/>
      <c r="H6" s="3417"/>
      <c r="I6" s="3417"/>
    </row>
    <row r="7" spans="1:11" ht="11.25" hidden="1" customHeight="1" x14ac:dyDescent="0.2">
      <c r="A7" s="3237" t="s">
        <v>4460</v>
      </c>
      <c r="B7" s="3237" t="s">
        <v>3246</v>
      </c>
      <c r="C7" s="3237" t="s">
        <v>4461</v>
      </c>
      <c r="D7" s="3237" t="s">
        <v>4462</v>
      </c>
      <c r="E7" s="3237" t="s">
        <v>4463</v>
      </c>
      <c r="F7" s="3237" t="s">
        <v>3662</v>
      </c>
      <c r="G7" s="3237" t="s">
        <v>3221</v>
      </c>
      <c r="H7" s="3236" t="s">
        <v>4464</v>
      </c>
      <c r="I7" s="3236">
        <v>30.45</v>
      </c>
      <c r="K7" s="3241"/>
    </row>
    <row r="8" spans="1:11" ht="11.25" hidden="1" customHeight="1" x14ac:dyDescent="0.2">
      <c r="A8" s="3237" t="s">
        <v>4460</v>
      </c>
      <c r="B8" s="3237" t="s">
        <v>3247</v>
      </c>
      <c r="C8" s="3237" t="s">
        <v>4461</v>
      </c>
      <c r="D8" s="3237" t="s">
        <v>4462</v>
      </c>
      <c r="E8" s="3237" t="s">
        <v>4463</v>
      </c>
      <c r="F8" s="3237" t="s">
        <v>3662</v>
      </c>
      <c r="G8" s="3237" t="s">
        <v>3221</v>
      </c>
      <c r="H8" s="3236" t="s">
        <v>4464</v>
      </c>
      <c r="I8" s="3236">
        <v>30.45</v>
      </c>
    </row>
    <row r="9" spans="1:11" ht="11.25" hidden="1" customHeight="1" x14ac:dyDescent="0.2">
      <c r="A9" s="3237" t="s">
        <v>4460</v>
      </c>
      <c r="B9" s="3237" t="s">
        <v>3248</v>
      </c>
      <c r="C9" s="3237" t="s">
        <v>4461</v>
      </c>
      <c r="D9" s="3237" t="s">
        <v>4462</v>
      </c>
      <c r="E9" s="3237" t="s">
        <v>4463</v>
      </c>
      <c r="F9" s="3237" t="s">
        <v>3662</v>
      </c>
      <c r="G9" s="3237" t="s">
        <v>3221</v>
      </c>
      <c r="H9" s="3236" t="s">
        <v>4464</v>
      </c>
      <c r="I9" s="3236">
        <v>30.45</v>
      </c>
    </row>
    <row r="10" spans="1:11" ht="11.25" hidden="1" customHeight="1" x14ac:dyDescent="0.2">
      <c r="A10" s="3237" t="s">
        <v>4460</v>
      </c>
      <c r="B10" s="3237" t="s">
        <v>3249</v>
      </c>
      <c r="C10" s="3237" t="s">
        <v>4461</v>
      </c>
      <c r="D10" s="3237" t="s">
        <v>4462</v>
      </c>
      <c r="E10" s="3237" t="s">
        <v>4463</v>
      </c>
      <c r="F10" s="3237" t="s">
        <v>3662</v>
      </c>
      <c r="G10" s="3237" t="s">
        <v>3221</v>
      </c>
      <c r="H10" s="3236" t="s">
        <v>4464</v>
      </c>
      <c r="I10" s="3236">
        <v>30.45</v>
      </c>
    </row>
    <row r="11" spans="1:11" ht="11.25" hidden="1" customHeight="1" x14ac:dyDescent="0.2">
      <c r="A11" s="3237" t="s">
        <v>4460</v>
      </c>
      <c r="B11" s="3237" t="s">
        <v>3250</v>
      </c>
      <c r="C11" s="3237" t="s">
        <v>4461</v>
      </c>
      <c r="D11" s="3237" t="s">
        <v>4462</v>
      </c>
      <c r="E11" s="3237" t="s">
        <v>4463</v>
      </c>
      <c r="F11" s="3237" t="s">
        <v>3662</v>
      </c>
      <c r="G11" s="3237" t="s">
        <v>3221</v>
      </c>
      <c r="H11" s="3236" t="s">
        <v>4464</v>
      </c>
      <c r="I11" s="3236">
        <v>30.45</v>
      </c>
    </row>
    <row r="12" spans="1:11" ht="11.25" hidden="1" customHeight="1" x14ac:dyDescent="0.2">
      <c r="A12" s="3237" t="s">
        <v>4460</v>
      </c>
      <c r="B12" s="3237" t="s">
        <v>3251</v>
      </c>
      <c r="C12" s="3237" t="s">
        <v>4461</v>
      </c>
      <c r="D12" s="3237" t="s">
        <v>4462</v>
      </c>
      <c r="E12" s="3237" t="s">
        <v>4463</v>
      </c>
      <c r="F12" s="3237" t="s">
        <v>3662</v>
      </c>
      <c r="G12" s="3237" t="s">
        <v>3221</v>
      </c>
      <c r="H12" s="3236" t="s">
        <v>4464</v>
      </c>
      <c r="I12" s="3236">
        <v>30.45</v>
      </c>
    </row>
    <row r="13" spans="1:11" ht="11.25" hidden="1" customHeight="1" x14ac:dyDescent="0.2">
      <c r="A13" s="3237" t="s">
        <v>4460</v>
      </c>
      <c r="B13" s="3237" t="s">
        <v>3252</v>
      </c>
      <c r="C13" s="3237" t="s">
        <v>4461</v>
      </c>
      <c r="D13" s="3237" t="s">
        <v>4462</v>
      </c>
      <c r="E13" s="3237" t="s">
        <v>4463</v>
      </c>
      <c r="F13" s="3237" t="s">
        <v>3662</v>
      </c>
      <c r="G13" s="3237" t="s">
        <v>3221</v>
      </c>
      <c r="H13" s="3236" t="s">
        <v>4464</v>
      </c>
      <c r="I13" s="3236">
        <v>30.45</v>
      </c>
    </row>
    <row r="14" spans="1:11" ht="11.25" hidden="1" customHeight="1" x14ac:dyDescent="0.2">
      <c r="A14" s="3237" t="s">
        <v>4460</v>
      </c>
      <c r="B14" s="3237" t="s">
        <v>3253</v>
      </c>
      <c r="C14" s="3237" t="s">
        <v>4461</v>
      </c>
      <c r="D14" s="3237" t="s">
        <v>4462</v>
      </c>
      <c r="E14" s="3237" t="s">
        <v>4463</v>
      </c>
      <c r="F14" s="3237" t="s">
        <v>3662</v>
      </c>
      <c r="G14" s="3237" t="s">
        <v>3221</v>
      </c>
      <c r="H14" s="3236" t="s">
        <v>4464</v>
      </c>
      <c r="I14" s="3236">
        <v>30.45</v>
      </c>
    </row>
    <row r="15" spans="1:11" ht="11.25" hidden="1" customHeight="1" x14ac:dyDescent="0.2">
      <c r="A15" s="3237" t="s">
        <v>4460</v>
      </c>
      <c r="B15" s="3237" t="s">
        <v>3254</v>
      </c>
      <c r="C15" s="3237" t="s">
        <v>4461</v>
      </c>
      <c r="D15" s="3237" t="s">
        <v>4462</v>
      </c>
      <c r="E15" s="3237" t="s">
        <v>4463</v>
      </c>
      <c r="F15" s="3237" t="s">
        <v>3662</v>
      </c>
      <c r="G15" s="3237" t="s">
        <v>3221</v>
      </c>
      <c r="H15" s="3236" t="s">
        <v>4464</v>
      </c>
      <c r="I15" s="3236">
        <v>30.45</v>
      </c>
    </row>
    <row r="16" spans="1:11" ht="11.25" hidden="1" customHeight="1" x14ac:dyDescent="0.2">
      <c r="A16" s="3237" t="s">
        <v>4460</v>
      </c>
      <c r="B16" s="3237" t="s">
        <v>3255</v>
      </c>
      <c r="C16" s="3237" t="s">
        <v>4461</v>
      </c>
      <c r="D16" s="3237" t="s">
        <v>4462</v>
      </c>
      <c r="E16" s="3237" t="s">
        <v>4463</v>
      </c>
      <c r="F16" s="3237" t="s">
        <v>3662</v>
      </c>
      <c r="G16" s="3237" t="s">
        <v>3221</v>
      </c>
      <c r="H16" s="3236" t="s">
        <v>4464</v>
      </c>
      <c r="I16" s="3236">
        <v>30.45</v>
      </c>
    </row>
    <row r="17" spans="1:9" ht="11.25" hidden="1" customHeight="1" x14ac:dyDescent="0.2">
      <c r="A17" s="3237" t="s">
        <v>4460</v>
      </c>
      <c r="B17" s="3237" t="s">
        <v>3256</v>
      </c>
      <c r="C17" s="3237" t="s">
        <v>4461</v>
      </c>
      <c r="D17" s="3237" t="s">
        <v>4462</v>
      </c>
      <c r="E17" s="3237" t="s">
        <v>4463</v>
      </c>
      <c r="F17" s="3237" t="s">
        <v>3662</v>
      </c>
      <c r="G17" s="3237" t="s">
        <v>3221</v>
      </c>
      <c r="H17" s="3236" t="s">
        <v>4464</v>
      </c>
      <c r="I17" s="3236">
        <v>30.45</v>
      </c>
    </row>
    <row r="18" spans="1:9" ht="11.25" hidden="1" customHeight="1" x14ac:dyDescent="0.2">
      <c r="A18" s="3237" t="s">
        <v>4460</v>
      </c>
      <c r="B18" s="3237" t="s">
        <v>3257</v>
      </c>
      <c r="C18" s="3237" t="s">
        <v>4461</v>
      </c>
      <c r="D18" s="3237" t="s">
        <v>4462</v>
      </c>
      <c r="E18" s="3237" t="s">
        <v>4463</v>
      </c>
      <c r="F18" s="3237" t="s">
        <v>3662</v>
      </c>
      <c r="G18" s="3237" t="s">
        <v>3221</v>
      </c>
      <c r="H18" s="3236" t="s">
        <v>4464</v>
      </c>
      <c r="I18" s="3236">
        <v>30.45</v>
      </c>
    </row>
    <row r="19" spans="1:9" ht="11.25" hidden="1" customHeight="1" x14ac:dyDescent="0.2">
      <c r="A19" s="3237" t="s">
        <v>4460</v>
      </c>
      <c r="B19" s="3237" t="s">
        <v>3258</v>
      </c>
      <c r="C19" s="3237" t="s">
        <v>4461</v>
      </c>
      <c r="D19" s="3237" t="s">
        <v>4462</v>
      </c>
      <c r="E19" s="3237" t="s">
        <v>4463</v>
      </c>
      <c r="F19" s="3237" t="s">
        <v>3662</v>
      </c>
      <c r="G19" s="3237" t="s">
        <v>3221</v>
      </c>
      <c r="H19" s="3236" t="s">
        <v>4464</v>
      </c>
      <c r="I19" s="3236">
        <v>30.45</v>
      </c>
    </row>
    <row r="20" spans="1:9" ht="11.25" hidden="1" customHeight="1" x14ac:dyDescent="0.2">
      <c r="A20" s="3237" t="s">
        <v>4460</v>
      </c>
      <c r="B20" s="3237" t="s">
        <v>3259</v>
      </c>
      <c r="C20" s="3237" t="s">
        <v>4461</v>
      </c>
      <c r="D20" s="3237" t="s">
        <v>4462</v>
      </c>
      <c r="E20" s="3237" t="s">
        <v>4463</v>
      </c>
      <c r="F20" s="3237" t="s">
        <v>3662</v>
      </c>
      <c r="G20" s="3237" t="s">
        <v>3221</v>
      </c>
      <c r="H20" s="3236" t="s">
        <v>4464</v>
      </c>
      <c r="I20" s="3236">
        <v>30.45</v>
      </c>
    </row>
    <row r="21" spans="1:9" ht="11.25" hidden="1" customHeight="1" x14ac:dyDescent="0.2">
      <c r="A21" s="3237" t="s">
        <v>4460</v>
      </c>
      <c r="B21" s="3237" t="s">
        <v>3260</v>
      </c>
      <c r="C21" s="3237" t="s">
        <v>4461</v>
      </c>
      <c r="D21" s="3237" t="s">
        <v>4462</v>
      </c>
      <c r="E21" s="3237" t="s">
        <v>4463</v>
      </c>
      <c r="F21" s="3237" t="s">
        <v>3662</v>
      </c>
      <c r="G21" s="3237" t="s">
        <v>3221</v>
      </c>
      <c r="H21" s="3236" t="s">
        <v>4464</v>
      </c>
      <c r="I21" s="3236">
        <v>30.45</v>
      </c>
    </row>
    <row r="22" spans="1:9" ht="11.25" hidden="1" customHeight="1" x14ac:dyDescent="0.2">
      <c r="A22" s="3237" t="s">
        <v>4460</v>
      </c>
      <c r="B22" s="3237" t="s">
        <v>3261</v>
      </c>
      <c r="C22" s="3237" t="s">
        <v>4461</v>
      </c>
      <c r="D22" s="3237" t="s">
        <v>4462</v>
      </c>
      <c r="E22" s="3237" t="s">
        <v>4463</v>
      </c>
      <c r="F22" s="3237" t="s">
        <v>3662</v>
      </c>
      <c r="G22" s="3237" t="s">
        <v>3221</v>
      </c>
      <c r="H22" s="3236" t="s">
        <v>4464</v>
      </c>
      <c r="I22" s="3236">
        <v>30.45</v>
      </c>
    </row>
    <row r="23" spans="1:9" ht="11.25" hidden="1" customHeight="1" x14ac:dyDescent="0.2">
      <c r="A23" s="3237" t="s">
        <v>4460</v>
      </c>
      <c r="B23" s="3237" t="s">
        <v>3262</v>
      </c>
      <c r="C23" s="3237" t="s">
        <v>4461</v>
      </c>
      <c r="D23" s="3237" t="s">
        <v>4462</v>
      </c>
      <c r="E23" s="3237" t="s">
        <v>4463</v>
      </c>
      <c r="F23" s="3237" t="s">
        <v>3662</v>
      </c>
      <c r="G23" s="3237" t="s">
        <v>3221</v>
      </c>
      <c r="H23" s="3236" t="s">
        <v>4464</v>
      </c>
      <c r="I23" s="3236">
        <v>30.45</v>
      </c>
    </row>
    <row r="24" spans="1:9" ht="11.25" hidden="1" customHeight="1" x14ac:dyDescent="0.2">
      <c r="A24" s="3237" t="s">
        <v>4460</v>
      </c>
      <c r="B24" s="3237" t="s">
        <v>3263</v>
      </c>
      <c r="C24" s="3237" t="s">
        <v>4461</v>
      </c>
      <c r="D24" s="3237" t="s">
        <v>4462</v>
      </c>
      <c r="E24" s="3237" t="s">
        <v>4463</v>
      </c>
      <c r="F24" s="3237" t="s">
        <v>3662</v>
      </c>
      <c r="G24" s="3237" t="s">
        <v>3221</v>
      </c>
      <c r="H24" s="3236" t="s">
        <v>4464</v>
      </c>
      <c r="I24" s="3236">
        <v>30.45</v>
      </c>
    </row>
    <row r="25" spans="1:9" ht="11.25" hidden="1" customHeight="1" x14ac:dyDescent="0.2">
      <c r="A25" s="3237" t="s">
        <v>4460</v>
      </c>
      <c r="B25" s="3237" t="s">
        <v>3264</v>
      </c>
      <c r="C25" s="3237" t="s">
        <v>4461</v>
      </c>
      <c r="D25" s="3237" t="s">
        <v>4462</v>
      </c>
      <c r="E25" s="3237" t="s">
        <v>4463</v>
      </c>
      <c r="F25" s="3237" t="s">
        <v>3662</v>
      </c>
      <c r="G25" s="3237" t="s">
        <v>3221</v>
      </c>
      <c r="H25" s="3236" t="s">
        <v>4464</v>
      </c>
      <c r="I25" s="3236">
        <v>35.53</v>
      </c>
    </row>
    <row r="26" spans="1:9" ht="11.25" hidden="1" customHeight="1" x14ac:dyDescent="0.2">
      <c r="A26" s="3237" t="s">
        <v>4460</v>
      </c>
      <c r="B26" s="3237" t="s">
        <v>3265</v>
      </c>
      <c r="C26" s="3237" t="s">
        <v>4461</v>
      </c>
      <c r="D26" s="3237" t="s">
        <v>4462</v>
      </c>
      <c r="E26" s="3237" t="s">
        <v>4463</v>
      </c>
      <c r="F26" s="3237" t="s">
        <v>3662</v>
      </c>
      <c r="G26" s="3237" t="s">
        <v>3221</v>
      </c>
      <c r="H26" s="3236" t="s">
        <v>4464</v>
      </c>
      <c r="I26" s="3236">
        <v>30.45</v>
      </c>
    </row>
    <row r="27" spans="1:9" ht="11.25" hidden="1" customHeight="1" x14ac:dyDescent="0.2">
      <c r="A27" s="3237" t="s">
        <v>4460</v>
      </c>
      <c r="B27" s="3237" t="s">
        <v>3266</v>
      </c>
      <c r="C27" s="3237" t="s">
        <v>4461</v>
      </c>
      <c r="D27" s="3237" t="s">
        <v>4462</v>
      </c>
      <c r="E27" s="3237" t="s">
        <v>4463</v>
      </c>
      <c r="F27" s="3237" t="s">
        <v>3662</v>
      </c>
      <c r="G27" s="3237" t="s">
        <v>3221</v>
      </c>
      <c r="H27" s="3236" t="s">
        <v>4464</v>
      </c>
      <c r="I27" s="3236">
        <v>30.45</v>
      </c>
    </row>
    <row r="28" spans="1:9" ht="11.25" hidden="1" customHeight="1" x14ac:dyDescent="0.2">
      <c r="A28" s="3237" t="s">
        <v>4460</v>
      </c>
      <c r="B28" s="3237" t="s">
        <v>3267</v>
      </c>
      <c r="C28" s="3237" t="s">
        <v>4461</v>
      </c>
      <c r="D28" s="3237" t="s">
        <v>4462</v>
      </c>
      <c r="E28" s="3237" t="s">
        <v>4463</v>
      </c>
      <c r="F28" s="3237" t="s">
        <v>3662</v>
      </c>
      <c r="G28" s="3237" t="s">
        <v>3221</v>
      </c>
      <c r="H28" s="3236" t="s">
        <v>4464</v>
      </c>
      <c r="I28" s="3236">
        <v>30.45</v>
      </c>
    </row>
    <row r="29" spans="1:9" ht="11.25" hidden="1" customHeight="1" x14ac:dyDescent="0.2">
      <c r="A29" s="3237" t="s">
        <v>4460</v>
      </c>
      <c r="B29" s="3237" t="s">
        <v>3268</v>
      </c>
      <c r="C29" s="3237" t="s">
        <v>4461</v>
      </c>
      <c r="D29" s="3237" t="s">
        <v>4462</v>
      </c>
      <c r="E29" s="3237" t="s">
        <v>4463</v>
      </c>
      <c r="F29" s="3237" t="s">
        <v>3662</v>
      </c>
      <c r="G29" s="3237" t="s">
        <v>3221</v>
      </c>
      <c r="H29" s="3236" t="s">
        <v>4464</v>
      </c>
      <c r="I29" s="3236">
        <v>30.45</v>
      </c>
    </row>
    <row r="30" spans="1:9" ht="11.25" hidden="1" customHeight="1" x14ac:dyDescent="0.2">
      <c r="A30" s="3237" t="s">
        <v>4460</v>
      </c>
      <c r="B30" s="3237" t="s">
        <v>3269</v>
      </c>
      <c r="C30" s="3237" t="s">
        <v>4461</v>
      </c>
      <c r="D30" s="3237" t="s">
        <v>4462</v>
      </c>
      <c r="E30" s="3237" t="s">
        <v>4463</v>
      </c>
      <c r="F30" s="3237" t="s">
        <v>3662</v>
      </c>
      <c r="G30" s="3237" t="s">
        <v>3221</v>
      </c>
      <c r="H30" s="3236" t="s">
        <v>4464</v>
      </c>
      <c r="I30" s="3236">
        <v>30.45</v>
      </c>
    </row>
    <row r="31" spans="1:9" ht="11.25" hidden="1" customHeight="1" x14ac:dyDescent="0.2">
      <c r="A31" s="3237" t="s">
        <v>4460</v>
      </c>
      <c r="B31" s="3237" t="s">
        <v>3270</v>
      </c>
      <c r="C31" s="3237" t="s">
        <v>4461</v>
      </c>
      <c r="D31" s="3237" t="s">
        <v>4462</v>
      </c>
      <c r="E31" s="3237" t="s">
        <v>4463</v>
      </c>
      <c r="F31" s="3237" t="s">
        <v>3662</v>
      </c>
      <c r="G31" s="3237" t="s">
        <v>3221</v>
      </c>
      <c r="H31" s="3236" t="s">
        <v>4464</v>
      </c>
      <c r="I31" s="3236">
        <v>30.45</v>
      </c>
    </row>
    <row r="32" spans="1:9" ht="11.25" hidden="1" customHeight="1" x14ac:dyDescent="0.2">
      <c r="A32" s="3237" t="s">
        <v>4460</v>
      </c>
      <c r="B32" s="3237" t="s">
        <v>3271</v>
      </c>
      <c r="C32" s="3237" t="s">
        <v>4461</v>
      </c>
      <c r="D32" s="3237" t="s">
        <v>4462</v>
      </c>
      <c r="E32" s="3237" t="s">
        <v>4463</v>
      </c>
      <c r="F32" s="3237" t="s">
        <v>3662</v>
      </c>
      <c r="G32" s="3237" t="s">
        <v>3221</v>
      </c>
      <c r="H32" s="3236" t="s">
        <v>4464</v>
      </c>
      <c r="I32" s="3236">
        <v>30.45</v>
      </c>
    </row>
    <row r="33" spans="1:9" ht="11.25" hidden="1" customHeight="1" x14ac:dyDescent="0.2">
      <c r="A33" s="3237" t="s">
        <v>4460</v>
      </c>
      <c r="B33" s="3237" t="s">
        <v>3272</v>
      </c>
      <c r="C33" s="3237" t="s">
        <v>4461</v>
      </c>
      <c r="D33" s="3237" t="s">
        <v>4462</v>
      </c>
      <c r="E33" s="3237" t="s">
        <v>4463</v>
      </c>
      <c r="F33" s="3237" t="s">
        <v>3662</v>
      </c>
      <c r="G33" s="3237" t="s">
        <v>3221</v>
      </c>
      <c r="H33" s="3236" t="s">
        <v>4464</v>
      </c>
      <c r="I33" s="3236">
        <v>30.45</v>
      </c>
    </row>
    <row r="34" spans="1:9" ht="11.25" hidden="1" customHeight="1" x14ac:dyDescent="0.2">
      <c r="A34" s="3237" t="s">
        <v>4460</v>
      </c>
      <c r="B34" s="3237" t="s">
        <v>3273</v>
      </c>
      <c r="C34" s="3237" t="s">
        <v>4461</v>
      </c>
      <c r="D34" s="3237" t="s">
        <v>4462</v>
      </c>
      <c r="E34" s="3237" t="s">
        <v>4463</v>
      </c>
      <c r="F34" s="3237" t="s">
        <v>3662</v>
      </c>
      <c r="G34" s="3237" t="s">
        <v>3221</v>
      </c>
      <c r="H34" s="3236" t="s">
        <v>4464</v>
      </c>
      <c r="I34" s="3236">
        <v>30.45</v>
      </c>
    </row>
    <row r="35" spans="1:9" ht="11.25" hidden="1" customHeight="1" x14ac:dyDescent="0.2">
      <c r="A35" s="3237" t="s">
        <v>4460</v>
      </c>
      <c r="B35" s="3237" t="s">
        <v>3274</v>
      </c>
      <c r="C35" s="3237" t="s">
        <v>4461</v>
      </c>
      <c r="D35" s="3237" t="s">
        <v>4462</v>
      </c>
      <c r="E35" s="3237" t="s">
        <v>4463</v>
      </c>
      <c r="F35" s="3237" t="s">
        <v>3662</v>
      </c>
      <c r="G35" s="3237" t="s">
        <v>3221</v>
      </c>
      <c r="H35" s="3236" t="s">
        <v>4464</v>
      </c>
      <c r="I35" s="3236">
        <v>30.45</v>
      </c>
    </row>
    <row r="36" spans="1:9" ht="11.25" hidden="1" customHeight="1" x14ac:dyDescent="0.2">
      <c r="A36" s="3237" t="s">
        <v>4460</v>
      </c>
      <c r="B36" s="3237" t="s">
        <v>3275</v>
      </c>
      <c r="C36" s="3237" t="s">
        <v>4461</v>
      </c>
      <c r="D36" s="3237" t="s">
        <v>4462</v>
      </c>
      <c r="E36" s="3237" t="s">
        <v>4463</v>
      </c>
      <c r="F36" s="3237" t="s">
        <v>3662</v>
      </c>
      <c r="G36" s="3237" t="s">
        <v>3221</v>
      </c>
      <c r="H36" s="3236" t="s">
        <v>4464</v>
      </c>
      <c r="I36" s="3236">
        <v>30.45</v>
      </c>
    </row>
    <row r="37" spans="1:9" ht="11.25" hidden="1" customHeight="1" x14ac:dyDescent="0.2">
      <c r="A37" s="3237" t="s">
        <v>4460</v>
      </c>
      <c r="B37" s="3237" t="s">
        <v>3276</v>
      </c>
      <c r="C37" s="3237" t="s">
        <v>4461</v>
      </c>
      <c r="D37" s="3237" t="s">
        <v>4462</v>
      </c>
      <c r="E37" s="3237" t="s">
        <v>4463</v>
      </c>
      <c r="F37" s="3237" t="s">
        <v>3662</v>
      </c>
      <c r="G37" s="3237" t="s">
        <v>3221</v>
      </c>
      <c r="H37" s="3236" t="s">
        <v>4464</v>
      </c>
      <c r="I37" s="3236">
        <v>30.45</v>
      </c>
    </row>
    <row r="38" spans="1:9" ht="11.25" hidden="1" customHeight="1" x14ac:dyDescent="0.2">
      <c r="A38" s="3237" t="s">
        <v>4460</v>
      </c>
      <c r="B38" s="3237" t="s">
        <v>3277</v>
      </c>
      <c r="C38" s="3237" t="s">
        <v>4461</v>
      </c>
      <c r="D38" s="3237" t="s">
        <v>4462</v>
      </c>
      <c r="E38" s="3237" t="s">
        <v>4463</v>
      </c>
      <c r="F38" s="3237" t="s">
        <v>3662</v>
      </c>
      <c r="G38" s="3237" t="s">
        <v>3221</v>
      </c>
      <c r="H38" s="3236" t="s">
        <v>4464</v>
      </c>
      <c r="I38" s="3236">
        <v>30.45</v>
      </c>
    </row>
    <row r="39" spans="1:9" ht="11.25" hidden="1" customHeight="1" x14ac:dyDescent="0.2">
      <c r="A39" s="3237" t="s">
        <v>4460</v>
      </c>
      <c r="B39" s="3237" t="s">
        <v>3278</v>
      </c>
      <c r="C39" s="3237" t="s">
        <v>4461</v>
      </c>
      <c r="D39" s="3237" t="s">
        <v>4462</v>
      </c>
      <c r="E39" s="3237" t="s">
        <v>4463</v>
      </c>
      <c r="F39" s="3237" t="s">
        <v>3662</v>
      </c>
      <c r="G39" s="3237" t="s">
        <v>3221</v>
      </c>
      <c r="H39" s="3236" t="s">
        <v>4464</v>
      </c>
      <c r="I39" s="3236">
        <v>27.41</v>
      </c>
    </row>
    <row r="40" spans="1:9" ht="11.25" hidden="1" customHeight="1" x14ac:dyDescent="0.2">
      <c r="A40" s="3237" t="s">
        <v>4460</v>
      </c>
      <c r="B40" s="3237" t="s">
        <v>3279</v>
      </c>
      <c r="C40" s="3237" t="s">
        <v>4461</v>
      </c>
      <c r="D40" s="3237" t="s">
        <v>4462</v>
      </c>
      <c r="E40" s="3237" t="s">
        <v>4463</v>
      </c>
      <c r="F40" s="3237" t="s">
        <v>3662</v>
      </c>
      <c r="G40" s="3237" t="s">
        <v>3221</v>
      </c>
      <c r="H40" s="3236" t="s">
        <v>4464</v>
      </c>
      <c r="I40" s="3236">
        <v>30.45</v>
      </c>
    </row>
    <row r="41" spans="1:9" ht="11.25" hidden="1" customHeight="1" x14ac:dyDescent="0.2">
      <c r="A41" s="3237" t="s">
        <v>4460</v>
      </c>
      <c r="B41" s="3237" t="s">
        <v>3280</v>
      </c>
      <c r="C41" s="3237" t="s">
        <v>4461</v>
      </c>
      <c r="D41" s="3237" t="s">
        <v>4462</v>
      </c>
      <c r="E41" s="3237" t="s">
        <v>4463</v>
      </c>
      <c r="F41" s="3237" t="s">
        <v>3662</v>
      </c>
      <c r="G41" s="3237" t="s">
        <v>3221</v>
      </c>
      <c r="H41" s="3236" t="s">
        <v>4464</v>
      </c>
      <c r="I41" s="3236">
        <v>30.45</v>
      </c>
    </row>
    <row r="42" spans="1:9" ht="11.25" hidden="1" customHeight="1" x14ac:dyDescent="0.2">
      <c r="A42" s="3237" t="s">
        <v>4460</v>
      </c>
      <c r="B42" s="3237" t="s">
        <v>3281</v>
      </c>
      <c r="C42" s="3237" t="s">
        <v>4461</v>
      </c>
      <c r="D42" s="3237" t="s">
        <v>4462</v>
      </c>
      <c r="E42" s="3237" t="s">
        <v>4463</v>
      </c>
      <c r="F42" s="3237" t="s">
        <v>3662</v>
      </c>
      <c r="G42" s="3237" t="s">
        <v>3221</v>
      </c>
      <c r="H42" s="3236" t="s">
        <v>4464</v>
      </c>
      <c r="I42" s="3236">
        <v>30.45</v>
      </c>
    </row>
    <row r="43" spans="1:9" ht="11.25" hidden="1" customHeight="1" x14ac:dyDescent="0.2">
      <c r="A43" s="3237" t="s">
        <v>4460</v>
      </c>
      <c r="B43" s="3237" t="s">
        <v>3282</v>
      </c>
      <c r="C43" s="3237" t="s">
        <v>4461</v>
      </c>
      <c r="D43" s="3237" t="s">
        <v>4462</v>
      </c>
      <c r="E43" s="3237" t="s">
        <v>4463</v>
      </c>
      <c r="F43" s="3237" t="s">
        <v>3662</v>
      </c>
      <c r="G43" s="3237" t="s">
        <v>3221</v>
      </c>
      <c r="H43" s="3236" t="s">
        <v>4464</v>
      </c>
      <c r="I43" s="3236">
        <v>30.45</v>
      </c>
    </row>
    <row r="44" spans="1:9" ht="11.25" hidden="1" customHeight="1" x14ac:dyDescent="0.2">
      <c r="A44" s="3237" t="s">
        <v>4460</v>
      </c>
      <c r="B44" s="3237" t="s">
        <v>3283</v>
      </c>
      <c r="C44" s="3237" t="s">
        <v>4461</v>
      </c>
      <c r="D44" s="3237" t="s">
        <v>4462</v>
      </c>
      <c r="E44" s="3237" t="s">
        <v>4463</v>
      </c>
      <c r="F44" s="3237" t="s">
        <v>3662</v>
      </c>
      <c r="G44" s="3237" t="s">
        <v>3221</v>
      </c>
      <c r="H44" s="3236" t="s">
        <v>4464</v>
      </c>
      <c r="I44" s="3236">
        <v>30.45</v>
      </c>
    </row>
    <row r="45" spans="1:9" ht="11.25" hidden="1" customHeight="1" x14ac:dyDescent="0.2">
      <c r="A45" s="3237" t="s">
        <v>4460</v>
      </c>
      <c r="B45" s="3237" t="s">
        <v>3284</v>
      </c>
      <c r="C45" s="3237" t="s">
        <v>4461</v>
      </c>
      <c r="D45" s="3237" t="s">
        <v>4462</v>
      </c>
      <c r="E45" s="3237" t="s">
        <v>4463</v>
      </c>
      <c r="F45" s="3237" t="s">
        <v>3662</v>
      </c>
      <c r="G45" s="3237" t="s">
        <v>3221</v>
      </c>
      <c r="H45" s="3236" t="s">
        <v>4464</v>
      </c>
      <c r="I45" s="3236">
        <v>30.45</v>
      </c>
    </row>
    <row r="46" spans="1:9" ht="11.25" hidden="1" customHeight="1" x14ac:dyDescent="0.2">
      <c r="A46" s="3237" t="s">
        <v>4460</v>
      </c>
      <c r="B46" s="3237" t="s">
        <v>3285</v>
      </c>
      <c r="C46" s="3237" t="s">
        <v>4461</v>
      </c>
      <c r="D46" s="3237" t="s">
        <v>4462</v>
      </c>
      <c r="E46" s="3237" t="s">
        <v>4463</v>
      </c>
      <c r="F46" s="3237" t="s">
        <v>3662</v>
      </c>
      <c r="G46" s="3237" t="s">
        <v>3221</v>
      </c>
      <c r="H46" s="3236" t="s">
        <v>4464</v>
      </c>
      <c r="I46" s="3236">
        <v>30.45</v>
      </c>
    </row>
    <row r="47" spans="1:9" ht="11.25" hidden="1" customHeight="1" x14ac:dyDescent="0.2">
      <c r="A47" s="3237" t="s">
        <v>4460</v>
      </c>
      <c r="B47" s="3237" t="s">
        <v>3286</v>
      </c>
      <c r="C47" s="3237" t="s">
        <v>4461</v>
      </c>
      <c r="D47" s="3237" t="s">
        <v>4462</v>
      </c>
      <c r="E47" s="3237" t="s">
        <v>4463</v>
      </c>
      <c r="F47" s="3237" t="s">
        <v>3662</v>
      </c>
      <c r="G47" s="3237" t="s">
        <v>3221</v>
      </c>
      <c r="H47" s="3236" t="s">
        <v>4464</v>
      </c>
      <c r="I47" s="3236">
        <v>30.45</v>
      </c>
    </row>
    <row r="48" spans="1:9" ht="11.25" hidden="1" customHeight="1" x14ac:dyDescent="0.2">
      <c r="A48" s="3237" t="s">
        <v>4460</v>
      </c>
      <c r="B48" s="3237" t="s">
        <v>3287</v>
      </c>
      <c r="C48" s="3237" t="s">
        <v>4461</v>
      </c>
      <c r="D48" s="3237" t="s">
        <v>4462</v>
      </c>
      <c r="E48" s="3237" t="s">
        <v>4463</v>
      </c>
      <c r="F48" s="3237" t="s">
        <v>3662</v>
      </c>
      <c r="G48" s="3237" t="s">
        <v>3221</v>
      </c>
      <c r="H48" s="3236" t="s">
        <v>4464</v>
      </c>
      <c r="I48" s="3236">
        <v>30.45</v>
      </c>
    </row>
    <row r="49" spans="1:9" ht="11.25" hidden="1" customHeight="1" x14ac:dyDescent="0.2">
      <c r="A49" s="3237" t="s">
        <v>4460</v>
      </c>
      <c r="B49" s="3237" t="s">
        <v>3288</v>
      </c>
      <c r="C49" s="3237" t="s">
        <v>4461</v>
      </c>
      <c r="D49" s="3237" t="s">
        <v>4462</v>
      </c>
      <c r="E49" s="3237" t="s">
        <v>4463</v>
      </c>
      <c r="F49" s="3237" t="s">
        <v>3662</v>
      </c>
      <c r="G49" s="3237" t="s">
        <v>3221</v>
      </c>
      <c r="H49" s="3236" t="s">
        <v>4464</v>
      </c>
      <c r="I49" s="3236">
        <v>30.45</v>
      </c>
    </row>
    <row r="50" spans="1:9" ht="11.25" hidden="1" customHeight="1" x14ac:dyDescent="0.2">
      <c r="A50" s="3237" t="s">
        <v>4460</v>
      </c>
      <c r="B50" s="3237" t="s">
        <v>3289</v>
      </c>
      <c r="C50" s="3237" t="s">
        <v>4461</v>
      </c>
      <c r="D50" s="3237" t="s">
        <v>4462</v>
      </c>
      <c r="E50" s="3237" t="s">
        <v>4463</v>
      </c>
      <c r="F50" s="3237" t="s">
        <v>3662</v>
      </c>
      <c r="G50" s="3237" t="s">
        <v>3221</v>
      </c>
      <c r="H50" s="3236" t="s">
        <v>4464</v>
      </c>
      <c r="I50" s="3236">
        <v>30.45</v>
      </c>
    </row>
    <row r="51" spans="1:9" ht="11.25" hidden="1" customHeight="1" x14ac:dyDescent="0.2">
      <c r="A51" s="3237" t="s">
        <v>4460</v>
      </c>
      <c r="B51" s="3237" t="s">
        <v>3290</v>
      </c>
      <c r="C51" s="3237" t="s">
        <v>4461</v>
      </c>
      <c r="D51" s="3237" t="s">
        <v>4462</v>
      </c>
      <c r="E51" s="3237" t="s">
        <v>4463</v>
      </c>
      <c r="F51" s="3237" t="s">
        <v>3662</v>
      </c>
      <c r="G51" s="3237" t="s">
        <v>3221</v>
      </c>
      <c r="H51" s="3236" t="s">
        <v>4464</v>
      </c>
      <c r="I51" s="3236">
        <v>30.45</v>
      </c>
    </row>
    <row r="52" spans="1:9" ht="11.25" hidden="1" customHeight="1" x14ac:dyDescent="0.2">
      <c r="A52" s="3237" t="s">
        <v>4460</v>
      </c>
      <c r="B52" s="3237" t="s">
        <v>3291</v>
      </c>
      <c r="C52" s="3237" t="s">
        <v>4461</v>
      </c>
      <c r="D52" s="3237" t="s">
        <v>4462</v>
      </c>
      <c r="E52" s="3237" t="s">
        <v>4463</v>
      </c>
      <c r="F52" s="3237" t="s">
        <v>3662</v>
      </c>
      <c r="G52" s="3237" t="s">
        <v>3221</v>
      </c>
      <c r="H52" s="3236" t="s">
        <v>4464</v>
      </c>
      <c r="I52" s="3236">
        <v>30.45</v>
      </c>
    </row>
    <row r="53" spans="1:9" ht="11.25" hidden="1" customHeight="1" x14ac:dyDescent="0.2">
      <c r="A53" s="3237" t="s">
        <v>4460</v>
      </c>
      <c r="B53" s="3237" t="s">
        <v>3292</v>
      </c>
      <c r="C53" s="3237" t="s">
        <v>4461</v>
      </c>
      <c r="D53" s="3237" t="s">
        <v>4462</v>
      </c>
      <c r="E53" s="3237" t="s">
        <v>4463</v>
      </c>
      <c r="F53" s="3237" t="s">
        <v>3662</v>
      </c>
      <c r="G53" s="3237" t="s">
        <v>3221</v>
      </c>
      <c r="H53" s="3236" t="s">
        <v>4464</v>
      </c>
      <c r="I53" s="3236">
        <v>30.45</v>
      </c>
    </row>
    <row r="54" spans="1:9" ht="11.25" hidden="1" customHeight="1" x14ac:dyDescent="0.2">
      <c r="A54" s="3237" t="s">
        <v>4460</v>
      </c>
      <c r="B54" s="3237" t="s">
        <v>3293</v>
      </c>
      <c r="C54" s="3237" t="s">
        <v>4461</v>
      </c>
      <c r="D54" s="3237" t="s">
        <v>4462</v>
      </c>
      <c r="E54" s="3237" t="s">
        <v>4463</v>
      </c>
      <c r="F54" s="3237" t="s">
        <v>3662</v>
      </c>
      <c r="G54" s="3237" t="s">
        <v>3221</v>
      </c>
      <c r="H54" s="3236" t="s">
        <v>4464</v>
      </c>
      <c r="I54" s="3236">
        <v>30.45</v>
      </c>
    </row>
    <row r="55" spans="1:9" ht="11.25" hidden="1" customHeight="1" x14ac:dyDescent="0.2">
      <c r="A55" s="3237" t="s">
        <v>4460</v>
      </c>
      <c r="B55" s="3237" t="s">
        <v>3294</v>
      </c>
      <c r="C55" s="3237" t="s">
        <v>4461</v>
      </c>
      <c r="D55" s="3237" t="s">
        <v>4462</v>
      </c>
      <c r="E55" s="3237" t="s">
        <v>4463</v>
      </c>
      <c r="F55" s="3237" t="s">
        <v>3662</v>
      </c>
      <c r="G55" s="3237" t="s">
        <v>3221</v>
      </c>
      <c r="H55" s="3236" t="s">
        <v>4464</v>
      </c>
      <c r="I55" s="3236">
        <v>30.45</v>
      </c>
    </row>
    <row r="56" spans="1:9" ht="11.25" hidden="1" customHeight="1" x14ac:dyDescent="0.2">
      <c r="A56" s="3237" t="s">
        <v>4460</v>
      </c>
      <c r="B56" s="3237" t="s">
        <v>3295</v>
      </c>
      <c r="C56" s="3237" t="s">
        <v>4461</v>
      </c>
      <c r="D56" s="3237" t="s">
        <v>4462</v>
      </c>
      <c r="E56" s="3237" t="s">
        <v>4463</v>
      </c>
      <c r="F56" s="3237" t="s">
        <v>3662</v>
      </c>
      <c r="G56" s="3237" t="s">
        <v>3221</v>
      </c>
      <c r="H56" s="3236" t="s">
        <v>4464</v>
      </c>
      <c r="I56" s="3236">
        <v>30.45</v>
      </c>
    </row>
    <row r="57" spans="1:9" ht="11.25" hidden="1" customHeight="1" x14ac:dyDescent="0.2">
      <c r="A57" s="3237" t="s">
        <v>4460</v>
      </c>
      <c r="B57" s="3237" t="s">
        <v>3296</v>
      </c>
      <c r="C57" s="3237" t="s">
        <v>4461</v>
      </c>
      <c r="D57" s="3237" t="s">
        <v>4462</v>
      </c>
      <c r="E57" s="3237" t="s">
        <v>4463</v>
      </c>
      <c r="F57" s="3237" t="s">
        <v>3662</v>
      </c>
      <c r="G57" s="3237" t="s">
        <v>3221</v>
      </c>
      <c r="H57" s="3236" t="s">
        <v>4464</v>
      </c>
      <c r="I57" s="3236">
        <v>30.45</v>
      </c>
    </row>
    <row r="58" spans="1:9" ht="11.25" hidden="1" customHeight="1" x14ac:dyDescent="0.2">
      <c r="A58" s="3237" t="s">
        <v>4460</v>
      </c>
      <c r="B58" s="3237" t="s">
        <v>3297</v>
      </c>
      <c r="C58" s="3237" t="s">
        <v>4461</v>
      </c>
      <c r="D58" s="3237" t="s">
        <v>4462</v>
      </c>
      <c r="E58" s="3237" t="s">
        <v>4463</v>
      </c>
      <c r="F58" s="3237" t="s">
        <v>3662</v>
      </c>
      <c r="G58" s="3237" t="s">
        <v>3221</v>
      </c>
      <c r="H58" s="3236" t="s">
        <v>4464</v>
      </c>
      <c r="I58" s="3236">
        <v>30.45</v>
      </c>
    </row>
    <row r="59" spans="1:9" ht="11.25" hidden="1" customHeight="1" x14ac:dyDescent="0.2">
      <c r="A59" s="3237" t="s">
        <v>4460</v>
      </c>
      <c r="B59" s="3237" t="s">
        <v>3298</v>
      </c>
      <c r="C59" s="3237" t="s">
        <v>4461</v>
      </c>
      <c r="D59" s="3237" t="s">
        <v>4462</v>
      </c>
      <c r="E59" s="3237" t="s">
        <v>4463</v>
      </c>
      <c r="F59" s="3237" t="s">
        <v>3662</v>
      </c>
      <c r="G59" s="3237" t="s">
        <v>3221</v>
      </c>
      <c r="H59" s="3236" t="s">
        <v>4464</v>
      </c>
      <c r="I59" s="3236">
        <v>30.45</v>
      </c>
    </row>
    <row r="60" spans="1:9" ht="11.25" hidden="1" customHeight="1" x14ac:dyDescent="0.2">
      <c r="A60" s="3237" t="s">
        <v>4460</v>
      </c>
      <c r="B60" s="3237" t="s">
        <v>3299</v>
      </c>
      <c r="C60" s="3237" t="s">
        <v>4461</v>
      </c>
      <c r="D60" s="3237" t="s">
        <v>4462</v>
      </c>
      <c r="E60" s="3237" t="s">
        <v>4463</v>
      </c>
      <c r="F60" s="3237" t="s">
        <v>3662</v>
      </c>
      <c r="G60" s="3237" t="s">
        <v>3221</v>
      </c>
      <c r="H60" s="3236" t="s">
        <v>4464</v>
      </c>
      <c r="I60" s="3236">
        <v>30.45</v>
      </c>
    </row>
    <row r="61" spans="1:9" ht="11.25" hidden="1" customHeight="1" x14ac:dyDescent="0.2">
      <c r="A61" s="3237" t="s">
        <v>4460</v>
      </c>
      <c r="B61" s="3237" t="s">
        <v>3300</v>
      </c>
      <c r="C61" s="3237" t="s">
        <v>4461</v>
      </c>
      <c r="D61" s="3237" t="s">
        <v>4462</v>
      </c>
      <c r="E61" s="3237" t="s">
        <v>4463</v>
      </c>
      <c r="F61" s="3237" t="s">
        <v>3662</v>
      </c>
      <c r="G61" s="3237" t="s">
        <v>3221</v>
      </c>
      <c r="H61" s="3236" t="s">
        <v>4464</v>
      </c>
      <c r="I61" s="3236">
        <v>30.45</v>
      </c>
    </row>
    <row r="62" spans="1:9" ht="11.25" hidden="1" customHeight="1" x14ac:dyDescent="0.2">
      <c r="A62" s="3237" t="s">
        <v>4460</v>
      </c>
      <c r="B62" s="3237" t="s">
        <v>3301</v>
      </c>
      <c r="C62" s="3237" t="s">
        <v>4461</v>
      </c>
      <c r="D62" s="3237" t="s">
        <v>4462</v>
      </c>
      <c r="E62" s="3237" t="s">
        <v>4463</v>
      </c>
      <c r="F62" s="3237" t="s">
        <v>3662</v>
      </c>
      <c r="G62" s="3237" t="s">
        <v>3221</v>
      </c>
      <c r="H62" s="3236" t="s">
        <v>4464</v>
      </c>
      <c r="I62" s="3236">
        <v>30.45</v>
      </c>
    </row>
    <row r="63" spans="1:9" ht="11.25" hidden="1" customHeight="1" x14ac:dyDescent="0.2">
      <c r="A63" s="3237" t="s">
        <v>4460</v>
      </c>
      <c r="B63" s="3237" t="s">
        <v>3302</v>
      </c>
      <c r="C63" s="3237" t="s">
        <v>4461</v>
      </c>
      <c r="D63" s="3237" t="s">
        <v>4462</v>
      </c>
      <c r="E63" s="3237" t="s">
        <v>4463</v>
      </c>
      <c r="F63" s="3237" t="s">
        <v>3662</v>
      </c>
      <c r="G63" s="3237" t="s">
        <v>3221</v>
      </c>
      <c r="H63" s="3236" t="s">
        <v>4464</v>
      </c>
      <c r="I63" s="3236">
        <v>30.45</v>
      </c>
    </row>
    <row r="64" spans="1:9" ht="11.25" hidden="1" customHeight="1" x14ac:dyDescent="0.2">
      <c r="A64" s="3237" t="s">
        <v>4460</v>
      </c>
      <c r="B64" s="3237" t="s">
        <v>3303</v>
      </c>
      <c r="C64" s="3237" t="s">
        <v>4461</v>
      </c>
      <c r="D64" s="3237" t="s">
        <v>4462</v>
      </c>
      <c r="E64" s="3237" t="s">
        <v>4463</v>
      </c>
      <c r="F64" s="3237" t="s">
        <v>3662</v>
      </c>
      <c r="G64" s="3237" t="s">
        <v>3221</v>
      </c>
      <c r="H64" s="3236" t="s">
        <v>4464</v>
      </c>
      <c r="I64" s="3236">
        <v>30.45</v>
      </c>
    </row>
    <row r="65" spans="1:9" ht="11.25" hidden="1" customHeight="1" x14ac:dyDescent="0.2">
      <c r="A65" s="3237" t="s">
        <v>4460</v>
      </c>
      <c r="B65" s="3237" t="s">
        <v>3304</v>
      </c>
      <c r="C65" s="3237" t="s">
        <v>4461</v>
      </c>
      <c r="D65" s="3237" t="s">
        <v>4462</v>
      </c>
      <c r="E65" s="3237" t="s">
        <v>4463</v>
      </c>
      <c r="F65" s="3237" t="s">
        <v>3662</v>
      </c>
      <c r="G65" s="3237" t="s">
        <v>3221</v>
      </c>
      <c r="H65" s="3236" t="s">
        <v>4464</v>
      </c>
      <c r="I65" s="3236">
        <v>30.45</v>
      </c>
    </row>
    <row r="66" spans="1:9" ht="11.25" hidden="1" customHeight="1" x14ac:dyDescent="0.2">
      <c r="A66" s="3237" t="s">
        <v>4460</v>
      </c>
      <c r="B66" s="3237" t="s">
        <v>3305</v>
      </c>
      <c r="C66" s="3237" t="s">
        <v>4461</v>
      </c>
      <c r="D66" s="3237" t="s">
        <v>4462</v>
      </c>
      <c r="E66" s="3237" t="s">
        <v>4463</v>
      </c>
      <c r="F66" s="3237" t="s">
        <v>3662</v>
      </c>
      <c r="G66" s="3237" t="s">
        <v>3221</v>
      </c>
      <c r="H66" s="3236" t="s">
        <v>4464</v>
      </c>
      <c r="I66" s="3236">
        <v>30.45</v>
      </c>
    </row>
    <row r="67" spans="1:9" ht="11.25" hidden="1" customHeight="1" x14ac:dyDescent="0.2">
      <c r="A67" s="3237" t="s">
        <v>4460</v>
      </c>
      <c r="B67" s="3237" t="s">
        <v>3306</v>
      </c>
      <c r="C67" s="3237" t="s">
        <v>4461</v>
      </c>
      <c r="D67" s="3237" t="s">
        <v>4462</v>
      </c>
      <c r="E67" s="3237" t="s">
        <v>4463</v>
      </c>
      <c r="F67" s="3237" t="s">
        <v>3662</v>
      </c>
      <c r="G67" s="3237" t="s">
        <v>3221</v>
      </c>
      <c r="H67" s="3236" t="s">
        <v>4464</v>
      </c>
      <c r="I67" s="3236">
        <v>30.45</v>
      </c>
    </row>
    <row r="68" spans="1:9" ht="11.25" hidden="1" customHeight="1" x14ac:dyDescent="0.2">
      <c r="A68" s="3237" t="s">
        <v>4460</v>
      </c>
      <c r="B68" s="3237" t="s">
        <v>3307</v>
      </c>
      <c r="C68" s="3237" t="s">
        <v>4461</v>
      </c>
      <c r="D68" s="3237" t="s">
        <v>4462</v>
      </c>
      <c r="E68" s="3237" t="s">
        <v>4463</v>
      </c>
      <c r="F68" s="3237" t="s">
        <v>3662</v>
      </c>
      <c r="G68" s="3237" t="s">
        <v>3221</v>
      </c>
      <c r="H68" s="3236" t="s">
        <v>4464</v>
      </c>
      <c r="I68" s="3236">
        <v>30.45</v>
      </c>
    </row>
    <row r="69" spans="1:9" ht="11.25" hidden="1" customHeight="1" x14ac:dyDescent="0.2">
      <c r="A69" s="3237" t="s">
        <v>4460</v>
      </c>
      <c r="B69" s="3237" t="s">
        <v>3308</v>
      </c>
      <c r="C69" s="3237" t="s">
        <v>4461</v>
      </c>
      <c r="D69" s="3237" t="s">
        <v>4462</v>
      </c>
      <c r="E69" s="3237" t="s">
        <v>4463</v>
      </c>
      <c r="F69" s="3237" t="s">
        <v>3662</v>
      </c>
      <c r="G69" s="3237" t="s">
        <v>3221</v>
      </c>
      <c r="H69" s="3236" t="s">
        <v>4464</v>
      </c>
      <c r="I69" s="3236">
        <v>30.45</v>
      </c>
    </row>
    <row r="70" spans="1:9" ht="11.25" hidden="1" customHeight="1" x14ac:dyDescent="0.2">
      <c r="A70" s="3237" t="s">
        <v>4460</v>
      </c>
      <c r="B70" s="3237" t="s">
        <v>3309</v>
      </c>
      <c r="C70" s="3237" t="s">
        <v>4461</v>
      </c>
      <c r="D70" s="3237" t="s">
        <v>4462</v>
      </c>
      <c r="E70" s="3237" t="s">
        <v>4463</v>
      </c>
      <c r="F70" s="3237" t="s">
        <v>3662</v>
      </c>
      <c r="G70" s="3237" t="s">
        <v>3221</v>
      </c>
      <c r="H70" s="3236" t="s">
        <v>4464</v>
      </c>
      <c r="I70" s="3236">
        <v>30.45</v>
      </c>
    </row>
    <row r="71" spans="1:9" ht="11.25" hidden="1" customHeight="1" x14ac:dyDescent="0.2">
      <c r="A71" s="3237" t="s">
        <v>4460</v>
      </c>
      <c r="B71" s="3237" t="s">
        <v>3310</v>
      </c>
      <c r="C71" s="3237" t="s">
        <v>4461</v>
      </c>
      <c r="D71" s="3237" t="s">
        <v>4462</v>
      </c>
      <c r="E71" s="3237" t="s">
        <v>4463</v>
      </c>
      <c r="F71" s="3237" t="s">
        <v>3662</v>
      </c>
      <c r="G71" s="3237" t="s">
        <v>3221</v>
      </c>
      <c r="H71" s="3236" t="s">
        <v>4464</v>
      </c>
      <c r="I71" s="3236">
        <v>30.45</v>
      </c>
    </row>
    <row r="72" spans="1:9" ht="11.25" hidden="1" customHeight="1" x14ac:dyDescent="0.2">
      <c r="A72" s="3237" t="s">
        <v>4460</v>
      </c>
      <c r="B72" s="3237" t="s">
        <v>3311</v>
      </c>
      <c r="C72" s="3237" t="s">
        <v>4461</v>
      </c>
      <c r="D72" s="3237" t="s">
        <v>4462</v>
      </c>
      <c r="E72" s="3237" t="s">
        <v>4463</v>
      </c>
      <c r="F72" s="3237" t="s">
        <v>3662</v>
      </c>
      <c r="G72" s="3237" t="s">
        <v>3221</v>
      </c>
      <c r="H72" s="3236" t="s">
        <v>4464</v>
      </c>
      <c r="I72" s="3236">
        <v>30.45</v>
      </c>
    </row>
    <row r="73" spans="1:9" ht="11.25" hidden="1" customHeight="1" x14ac:dyDescent="0.2">
      <c r="A73" s="3237" t="s">
        <v>4460</v>
      </c>
      <c r="B73" s="3237" t="s">
        <v>3312</v>
      </c>
      <c r="C73" s="3237" t="s">
        <v>4461</v>
      </c>
      <c r="D73" s="3237" t="s">
        <v>4462</v>
      </c>
      <c r="E73" s="3237" t="s">
        <v>4463</v>
      </c>
      <c r="F73" s="3237" t="s">
        <v>3662</v>
      </c>
      <c r="G73" s="3237" t="s">
        <v>3221</v>
      </c>
      <c r="H73" s="3236" t="s">
        <v>4464</v>
      </c>
      <c r="I73" s="3236">
        <v>30.45</v>
      </c>
    </row>
    <row r="74" spans="1:9" ht="11.25" hidden="1" customHeight="1" x14ac:dyDescent="0.2">
      <c r="A74" s="3237" t="s">
        <v>4460</v>
      </c>
      <c r="B74" s="3237" t="s">
        <v>3313</v>
      </c>
      <c r="C74" s="3237" t="s">
        <v>4461</v>
      </c>
      <c r="D74" s="3237" t="s">
        <v>4462</v>
      </c>
      <c r="E74" s="3237" t="s">
        <v>4463</v>
      </c>
      <c r="F74" s="3237" t="s">
        <v>3662</v>
      </c>
      <c r="G74" s="3237" t="s">
        <v>3221</v>
      </c>
      <c r="H74" s="3236" t="s">
        <v>4464</v>
      </c>
      <c r="I74" s="3236">
        <v>30.45</v>
      </c>
    </row>
    <row r="75" spans="1:9" ht="11.25" hidden="1" customHeight="1" x14ac:dyDescent="0.2">
      <c r="A75" s="3237" t="s">
        <v>4460</v>
      </c>
      <c r="B75" s="3237" t="s">
        <v>3314</v>
      </c>
      <c r="C75" s="3237" t="s">
        <v>4461</v>
      </c>
      <c r="D75" s="3237" t="s">
        <v>4462</v>
      </c>
      <c r="E75" s="3237" t="s">
        <v>4463</v>
      </c>
      <c r="F75" s="3237" t="s">
        <v>3662</v>
      </c>
      <c r="G75" s="3237" t="s">
        <v>3221</v>
      </c>
      <c r="H75" s="3236" t="s">
        <v>4464</v>
      </c>
      <c r="I75" s="3236">
        <v>30.45</v>
      </c>
    </row>
    <row r="76" spans="1:9" ht="11.25" hidden="1" customHeight="1" x14ac:dyDescent="0.2">
      <c r="A76" s="3237" t="s">
        <v>4460</v>
      </c>
      <c r="B76" s="3237" t="s">
        <v>3315</v>
      </c>
      <c r="C76" s="3237" t="s">
        <v>4461</v>
      </c>
      <c r="D76" s="3237" t="s">
        <v>4462</v>
      </c>
      <c r="E76" s="3237" t="s">
        <v>4463</v>
      </c>
      <c r="F76" s="3237" t="s">
        <v>3662</v>
      </c>
      <c r="G76" s="3237" t="s">
        <v>3221</v>
      </c>
      <c r="H76" s="3236" t="s">
        <v>4464</v>
      </c>
      <c r="I76" s="3236">
        <v>30.45</v>
      </c>
    </row>
    <row r="77" spans="1:9" ht="11.25" hidden="1" customHeight="1" x14ac:dyDescent="0.2">
      <c r="A77" s="3237" t="s">
        <v>4460</v>
      </c>
      <c r="B77" s="3237" t="s">
        <v>3316</v>
      </c>
      <c r="C77" s="3237" t="s">
        <v>4461</v>
      </c>
      <c r="D77" s="3237" t="s">
        <v>4462</v>
      </c>
      <c r="E77" s="3237" t="s">
        <v>4463</v>
      </c>
      <c r="F77" s="3237" t="s">
        <v>3662</v>
      </c>
      <c r="G77" s="3237" t="s">
        <v>3221</v>
      </c>
      <c r="H77" s="3236" t="s">
        <v>4464</v>
      </c>
      <c r="I77" s="3236">
        <v>30.45</v>
      </c>
    </row>
    <row r="78" spans="1:9" ht="11.25" hidden="1" customHeight="1" x14ac:dyDescent="0.2">
      <c r="A78" s="3237" t="s">
        <v>4460</v>
      </c>
      <c r="B78" s="3237" t="s">
        <v>3317</v>
      </c>
      <c r="C78" s="3237" t="s">
        <v>4461</v>
      </c>
      <c r="D78" s="3237" t="s">
        <v>4462</v>
      </c>
      <c r="E78" s="3237" t="s">
        <v>4463</v>
      </c>
      <c r="F78" s="3237" t="s">
        <v>3662</v>
      </c>
      <c r="G78" s="3237" t="s">
        <v>3221</v>
      </c>
      <c r="H78" s="3236" t="s">
        <v>4464</v>
      </c>
      <c r="I78" s="3236">
        <v>30.45</v>
      </c>
    </row>
    <row r="79" spans="1:9" ht="11.25" hidden="1" customHeight="1" x14ac:dyDescent="0.2">
      <c r="A79" s="3237" t="s">
        <v>4460</v>
      </c>
      <c r="B79" s="3237" t="s">
        <v>3318</v>
      </c>
      <c r="C79" s="3237" t="s">
        <v>4461</v>
      </c>
      <c r="D79" s="3237" t="s">
        <v>4462</v>
      </c>
      <c r="E79" s="3237" t="s">
        <v>4463</v>
      </c>
      <c r="F79" s="3237" t="s">
        <v>3662</v>
      </c>
      <c r="G79" s="3237" t="s">
        <v>3221</v>
      </c>
      <c r="H79" s="3236" t="s">
        <v>4464</v>
      </c>
      <c r="I79" s="3236">
        <v>30.45</v>
      </c>
    </row>
    <row r="80" spans="1:9" ht="11.25" hidden="1" customHeight="1" x14ac:dyDescent="0.2">
      <c r="A80" s="3237" t="s">
        <v>4460</v>
      </c>
      <c r="B80" s="3237" t="s">
        <v>3319</v>
      </c>
      <c r="C80" s="3237" t="s">
        <v>4461</v>
      </c>
      <c r="D80" s="3237" t="s">
        <v>4462</v>
      </c>
      <c r="E80" s="3237" t="s">
        <v>4463</v>
      </c>
      <c r="F80" s="3237" t="s">
        <v>3662</v>
      </c>
      <c r="G80" s="3237" t="s">
        <v>3221</v>
      </c>
      <c r="H80" s="3236" t="s">
        <v>4464</v>
      </c>
      <c r="I80" s="3236">
        <v>30.45</v>
      </c>
    </row>
    <row r="81" spans="1:9" ht="11.25" hidden="1" customHeight="1" x14ac:dyDescent="0.2">
      <c r="A81" s="3237" t="s">
        <v>4460</v>
      </c>
      <c r="B81" s="3237" t="s">
        <v>3320</v>
      </c>
      <c r="C81" s="3237" t="s">
        <v>4461</v>
      </c>
      <c r="D81" s="3237" t="s">
        <v>4462</v>
      </c>
      <c r="E81" s="3237" t="s">
        <v>4463</v>
      </c>
      <c r="F81" s="3237" t="s">
        <v>3662</v>
      </c>
      <c r="G81" s="3237" t="s">
        <v>3221</v>
      </c>
      <c r="H81" s="3236" t="s">
        <v>4464</v>
      </c>
      <c r="I81" s="3236">
        <v>30.45</v>
      </c>
    </row>
    <row r="82" spans="1:9" ht="11.25" hidden="1" customHeight="1" x14ac:dyDescent="0.2">
      <c r="A82" s="3237" t="s">
        <v>4460</v>
      </c>
      <c r="B82" s="3237" t="s">
        <v>3321</v>
      </c>
      <c r="C82" s="3237" t="s">
        <v>4461</v>
      </c>
      <c r="D82" s="3237" t="s">
        <v>4462</v>
      </c>
      <c r="E82" s="3237" t="s">
        <v>4463</v>
      </c>
      <c r="F82" s="3237" t="s">
        <v>3662</v>
      </c>
      <c r="G82" s="3237" t="s">
        <v>3221</v>
      </c>
      <c r="H82" s="3236" t="s">
        <v>4464</v>
      </c>
      <c r="I82" s="3236">
        <v>30.45</v>
      </c>
    </row>
    <row r="83" spans="1:9" ht="11.25" hidden="1" customHeight="1" x14ac:dyDescent="0.2">
      <c r="A83" s="3237" t="s">
        <v>4460</v>
      </c>
      <c r="B83" s="3237" t="s">
        <v>3322</v>
      </c>
      <c r="C83" s="3237" t="s">
        <v>4461</v>
      </c>
      <c r="D83" s="3237" t="s">
        <v>4462</v>
      </c>
      <c r="E83" s="3237" t="s">
        <v>4463</v>
      </c>
      <c r="F83" s="3237" t="s">
        <v>3662</v>
      </c>
      <c r="G83" s="3237" t="s">
        <v>3221</v>
      </c>
      <c r="H83" s="3236" t="s">
        <v>4464</v>
      </c>
      <c r="I83" s="3236">
        <v>30.45</v>
      </c>
    </row>
    <row r="84" spans="1:9" ht="11.25" hidden="1" customHeight="1" x14ac:dyDescent="0.2">
      <c r="A84" s="3237" t="s">
        <v>4460</v>
      </c>
      <c r="B84" s="3237" t="s">
        <v>3323</v>
      </c>
      <c r="C84" s="3237" t="s">
        <v>4461</v>
      </c>
      <c r="D84" s="3237" t="s">
        <v>4462</v>
      </c>
      <c r="E84" s="3237" t="s">
        <v>4463</v>
      </c>
      <c r="F84" s="3237" t="s">
        <v>3662</v>
      </c>
      <c r="G84" s="3237" t="s">
        <v>3221</v>
      </c>
      <c r="H84" s="3236" t="s">
        <v>4464</v>
      </c>
      <c r="I84" s="3236">
        <v>30.45</v>
      </c>
    </row>
    <row r="85" spans="1:9" ht="11.25" hidden="1" customHeight="1" x14ac:dyDescent="0.2">
      <c r="A85" s="3237" t="s">
        <v>4460</v>
      </c>
      <c r="B85" s="3237" t="s">
        <v>3324</v>
      </c>
      <c r="C85" s="3237" t="s">
        <v>4461</v>
      </c>
      <c r="D85" s="3237" t="s">
        <v>4462</v>
      </c>
      <c r="E85" s="3237" t="s">
        <v>4463</v>
      </c>
      <c r="F85" s="3237" t="s">
        <v>3662</v>
      </c>
      <c r="G85" s="3237" t="s">
        <v>3221</v>
      </c>
      <c r="H85" s="3236" t="s">
        <v>4464</v>
      </c>
      <c r="I85" s="3236">
        <v>30.45</v>
      </c>
    </row>
    <row r="86" spans="1:9" ht="11.25" hidden="1" customHeight="1" x14ac:dyDescent="0.2">
      <c r="A86" s="3237" t="s">
        <v>4460</v>
      </c>
      <c r="B86" s="3237" t="s">
        <v>3325</v>
      </c>
      <c r="C86" s="3237" t="s">
        <v>4461</v>
      </c>
      <c r="D86" s="3237" t="s">
        <v>4462</v>
      </c>
      <c r="E86" s="3237" t="s">
        <v>4463</v>
      </c>
      <c r="F86" s="3237" t="s">
        <v>3662</v>
      </c>
      <c r="G86" s="3237" t="s">
        <v>3221</v>
      </c>
      <c r="H86" s="3236" t="s">
        <v>4464</v>
      </c>
      <c r="I86" s="3236">
        <v>30.45</v>
      </c>
    </row>
    <row r="87" spans="1:9" ht="11.25" hidden="1" customHeight="1" x14ac:dyDescent="0.2">
      <c r="A87" s="3237" t="s">
        <v>4460</v>
      </c>
      <c r="B87" s="3237" t="s">
        <v>3326</v>
      </c>
      <c r="C87" s="3237" t="s">
        <v>4461</v>
      </c>
      <c r="D87" s="3237" t="s">
        <v>4462</v>
      </c>
      <c r="E87" s="3237" t="s">
        <v>4463</v>
      </c>
      <c r="F87" s="3237" t="s">
        <v>3662</v>
      </c>
      <c r="G87" s="3237" t="s">
        <v>3221</v>
      </c>
      <c r="H87" s="3236" t="s">
        <v>4464</v>
      </c>
      <c r="I87" s="3236">
        <v>30.45</v>
      </c>
    </row>
    <row r="88" spans="1:9" ht="11.25" hidden="1" customHeight="1" x14ac:dyDescent="0.2">
      <c r="A88" s="3237" t="s">
        <v>4460</v>
      </c>
      <c r="B88" s="3237" t="s">
        <v>3327</v>
      </c>
      <c r="C88" s="3237" t="s">
        <v>4461</v>
      </c>
      <c r="D88" s="3237" t="s">
        <v>4462</v>
      </c>
      <c r="E88" s="3237" t="s">
        <v>4463</v>
      </c>
      <c r="F88" s="3237" t="s">
        <v>3662</v>
      </c>
      <c r="G88" s="3237" t="s">
        <v>3221</v>
      </c>
      <c r="H88" s="3236" t="s">
        <v>4464</v>
      </c>
      <c r="I88" s="3236">
        <v>30.45</v>
      </c>
    </row>
    <row r="89" spans="1:9" ht="11.25" hidden="1" customHeight="1" x14ac:dyDescent="0.2">
      <c r="A89" s="3237" t="s">
        <v>4460</v>
      </c>
      <c r="B89" s="3237" t="s">
        <v>3328</v>
      </c>
      <c r="C89" s="3237" t="s">
        <v>4461</v>
      </c>
      <c r="D89" s="3237" t="s">
        <v>4462</v>
      </c>
      <c r="E89" s="3237" t="s">
        <v>4463</v>
      </c>
      <c r="F89" s="3237" t="s">
        <v>3662</v>
      </c>
      <c r="G89" s="3237" t="s">
        <v>3221</v>
      </c>
      <c r="H89" s="3236" t="s">
        <v>4464</v>
      </c>
      <c r="I89" s="3236">
        <v>42.51</v>
      </c>
    </row>
    <row r="90" spans="1:9" ht="11.25" hidden="1" customHeight="1" x14ac:dyDescent="0.2">
      <c r="A90" s="3237" t="s">
        <v>4460</v>
      </c>
      <c r="B90" s="3237" t="s">
        <v>3329</v>
      </c>
      <c r="C90" s="3237" t="s">
        <v>4461</v>
      </c>
      <c r="D90" s="3237" t="s">
        <v>4462</v>
      </c>
      <c r="E90" s="3237" t="s">
        <v>4463</v>
      </c>
      <c r="F90" s="3237" t="s">
        <v>3662</v>
      </c>
      <c r="G90" s="3237" t="s">
        <v>3221</v>
      </c>
      <c r="H90" s="3236" t="s">
        <v>4464</v>
      </c>
      <c r="I90" s="3236">
        <v>30.45</v>
      </c>
    </row>
    <row r="91" spans="1:9" ht="11.25" hidden="1" customHeight="1" x14ac:dyDescent="0.2">
      <c r="A91" s="3237" t="s">
        <v>4460</v>
      </c>
      <c r="B91" s="3237" t="s">
        <v>3330</v>
      </c>
      <c r="C91" s="3237" t="s">
        <v>4461</v>
      </c>
      <c r="D91" s="3237" t="s">
        <v>4462</v>
      </c>
      <c r="E91" s="3237" t="s">
        <v>4463</v>
      </c>
      <c r="F91" s="3237" t="s">
        <v>3662</v>
      </c>
      <c r="G91" s="3237" t="s">
        <v>3221</v>
      </c>
      <c r="H91" s="3236" t="s">
        <v>4464</v>
      </c>
      <c r="I91" s="3236">
        <v>30.45</v>
      </c>
    </row>
    <row r="92" spans="1:9" ht="11.25" hidden="1" customHeight="1" x14ac:dyDescent="0.2">
      <c r="A92" s="3237" t="s">
        <v>4460</v>
      </c>
      <c r="B92" s="3237" t="s">
        <v>3331</v>
      </c>
      <c r="C92" s="3237" t="s">
        <v>4461</v>
      </c>
      <c r="D92" s="3237" t="s">
        <v>4462</v>
      </c>
      <c r="E92" s="3237" t="s">
        <v>4463</v>
      </c>
      <c r="F92" s="3237" t="s">
        <v>3662</v>
      </c>
      <c r="G92" s="3237" t="s">
        <v>3221</v>
      </c>
      <c r="H92" s="3236" t="s">
        <v>4464</v>
      </c>
      <c r="I92" s="3236">
        <v>30.45</v>
      </c>
    </row>
    <row r="93" spans="1:9" ht="11.25" hidden="1" customHeight="1" x14ac:dyDescent="0.2">
      <c r="A93" s="3237" t="s">
        <v>4460</v>
      </c>
      <c r="B93" s="3237" t="s">
        <v>3332</v>
      </c>
      <c r="C93" s="3237" t="s">
        <v>4461</v>
      </c>
      <c r="D93" s="3237" t="s">
        <v>4462</v>
      </c>
      <c r="E93" s="3237" t="s">
        <v>4463</v>
      </c>
      <c r="F93" s="3237" t="s">
        <v>3662</v>
      </c>
      <c r="G93" s="3237" t="s">
        <v>3221</v>
      </c>
      <c r="H93" s="3236" t="s">
        <v>4464</v>
      </c>
      <c r="I93" s="3236">
        <v>30.45</v>
      </c>
    </row>
    <row r="94" spans="1:9" ht="11.25" hidden="1" customHeight="1" x14ac:dyDescent="0.2">
      <c r="A94" s="3237" t="s">
        <v>4460</v>
      </c>
      <c r="B94" s="3237" t="s">
        <v>3333</v>
      </c>
      <c r="C94" s="3237" t="s">
        <v>4461</v>
      </c>
      <c r="D94" s="3237" t="s">
        <v>4462</v>
      </c>
      <c r="E94" s="3237" t="s">
        <v>4463</v>
      </c>
      <c r="F94" s="3237" t="s">
        <v>3662</v>
      </c>
      <c r="G94" s="3237" t="s">
        <v>3221</v>
      </c>
      <c r="H94" s="3236" t="s">
        <v>4464</v>
      </c>
      <c r="I94" s="3236">
        <v>30.45</v>
      </c>
    </row>
    <row r="95" spans="1:9" ht="11.25" hidden="1" customHeight="1" x14ac:dyDescent="0.2">
      <c r="A95" s="3237" t="s">
        <v>4460</v>
      </c>
      <c r="B95" s="3237" t="s">
        <v>3334</v>
      </c>
      <c r="C95" s="3237" t="s">
        <v>4461</v>
      </c>
      <c r="D95" s="3237" t="s">
        <v>4462</v>
      </c>
      <c r="E95" s="3237" t="s">
        <v>4463</v>
      </c>
      <c r="F95" s="3237" t="s">
        <v>3662</v>
      </c>
      <c r="G95" s="3237" t="s">
        <v>3221</v>
      </c>
      <c r="H95" s="3236" t="s">
        <v>4464</v>
      </c>
      <c r="I95" s="3236">
        <v>30.45</v>
      </c>
    </row>
    <row r="96" spans="1:9" ht="11.25" hidden="1" customHeight="1" x14ac:dyDescent="0.2">
      <c r="A96" s="3237" t="s">
        <v>4460</v>
      </c>
      <c r="B96" s="3237" t="s">
        <v>3335</v>
      </c>
      <c r="C96" s="3237" t="s">
        <v>4461</v>
      </c>
      <c r="D96" s="3237" t="s">
        <v>4462</v>
      </c>
      <c r="E96" s="3237" t="s">
        <v>4463</v>
      </c>
      <c r="F96" s="3237" t="s">
        <v>3662</v>
      </c>
      <c r="G96" s="3237" t="s">
        <v>3221</v>
      </c>
      <c r="H96" s="3236" t="s">
        <v>4464</v>
      </c>
      <c r="I96" s="3236">
        <v>30.45</v>
      </c>
    </row>
    <row r="97" spans="1:9" ht="11.25" hidden="1" customHeight="1" x14ac:dyDescent="0.2">
      <c r="A97" s="3237" t="s">
        <v>4460</v>
      </c>
      <c r="B97" s="3237" t="s">
        <v>3336</v>
      </c>
      <c r="C97" s="3237" t="s">
        <v>4461</v>
      </c>
      <c r="D97" s="3237" t="s">
        <v>4462</v>
      </c>
      <c r="E97" s="3237" t="s">
        <v>4463</v>
      </c>
      <c r="F97" s="3237" t="s">
        <v>3662</v>
      </c>
      <c r="G97" s="3237" t="s">
        <v>3221</v>
      </c>
      <c r="H97" s="3236" t="s">
        <v>4464</v>
      </c>
      <c r="I97" s="3236">
        <v>30.45</v>
      </c>
    </row>
    <row r="98" spans="1:9" ht="11.25" hidden="1" customHeight="1" x14ac:dyDescent="0.2">
      <c r="A98" s="3237" t="s">
        <v>4460</v>
      </c>
      <c r="B98" s="3237" t="s">
        <v>3337</v>
      </c>
      <c r="C98" s="3237" t="s">
        <v>4461</v>
      </c>
      <c r="D98" s="3237" t="s">
        <v>4462</v>
      </c>
      <c r="E98" s="3237" t="s">
        <v>4463</v>
      </c>
      <c r="F98" s="3237" t="s">
        <v>3662</v>
      </c>
      <c r="G98" s="3237" t="s">
        <v>3221</v>
      </c>
      <c r="H98" s="3236" t="s">
        <v>4464</v>
      </c>
      <c r="I98" s="3236">
        <v>30.45</v>
      </c>
    </row>
    <row r="99" spans="1:9" ht="11.25" hidden="1" customHeight="1" x14ac:dyDescent="0.2">
      <c r="A99" s="3237" t="s">
        <v>4460</v>
      </c>
      <c r="B99" s="3237" t="s">
        <v>3338</v>
      </c>
      <c r="C99" s="3237" t="s">
        <v>4461</v>
      </c>
      <c r="D99" s="3237" t="s">
        <v>4462</v>
      </c>
      <c r="E99" s="3237" t="s">
        <v>4463</v>
      </c>
      <c r="F99" s="3237" t="s">
        <v>3662</v>
      </c>
      <c r="G99" s="3237" t="s">
        <v>3221</v>
      </c>
      <c r="H99" s="3236" t="s">
        <v>4464</v>
      </c>
      <c r="I99" s="3236">
        <v>30.45</v>
      </c>
    </row>
    <row r="100" spans="1:9" ht="11.25" hidden="1" customHeight="1" x14ac:dyDescent="0.2">
      <c r="A100" s="3237" t="s">
        <v>4460</v>
      </c>
      <c r="B100" s="3237" t="s">
        <v>3339</v>
      </c>
      <c r="C100" s="3237" t="s">
        <v>4461</v>
      </c>
      <c r="D100" s="3237" t="s">
        <v>4462</v>
      </c>
      <c r="E100" s="3237" t="s">
        <v>4463</v>
      </c>
      <c r="F100" s="3237" t="s">
        <v>3662</v>
      </c>
      <c r="G100" s="3237" t="s">
        <v>3221</v>
      </c>
      <c r="H100" s="3236" t="s">
        <v>4464</v>
      </c>
      <c r="I100" s="3236">
        <v>30.45</v>
      </c>
    </row>
    <row r="101" spans="1:9" ht="11.25" hidden="1" customHeight="1" x14ac:dyDescent="0.2">
      <c r="A101" s="3237" t="s">
        <v>4460</v>
      </c>
      <c r="B101" s="3237" t="s">
        <v>3340</v>
      </c>
      <c r="C101" s="3237" t="s">
        <v>4461</v>
      </c>
      <c r="D101" s="3237" t="s">
        <v>4462</v>
      </c>
      <c r="E101" s="3237" t="s">
        <v>4463</v>
      </c>
      <c r="F101" s="3237" t="s">
        <v>3662</v>
      </c>
      <c r="G101" s="3237" t="s">
        <v>3221</v>
      </c>
      <c r="H101" s="3236" t="s">
        <v>4464</v>
      </c>
      <c r="I101" s="3236">
        <v>30.45</v>
      </c>
    </row>
    <row r="102" spans="1:9" ht="11.25" hidden="1" customHeight="1" x14ac:dyDescent="0.2">
      <c r="A102" s="3237" t="s">
        <v>4460</v>
      </c>
      <c r="B102" s="3237" t="s">
        <v>3341</v>
      </c>
      <c r="C102" s="3237" t="s">
        <v>4461</v>
      </c>
      <c r="D102" s="3237" t="s">
        <v>4462</v>
      </c>
      <c r="E102" s="3237" t="s">
        <v>4463</v>
      </c>
      <c r="F102" s="3237" t="s">
        <v>3662</v>
      </c>
      <c r="G102" s="3237" t="s">
        <v>3221</v>
      </c>
      <c r="H102" s="3236" t="s">
        <v>4464</v>
      </c>
      <c r="I102" s="3236">
        <v>30.45</v>
      </c>
    </row>
    <row r="103" spans="1:9" ht="11.25" hidden="1" customHeight="1" x14ac:dyDescent="0.2">
      <c r="A103" s="3237" t="s">
        <v>4460</v>
      </c>
      <c r="B103" s="3237" t="s">
        <v>3342</v>
      </c>
      <c r="C103" s="3237" t="s">
        <v>4461</v>
      </c>
      <c r="D103" s="3237" t="s">
        <v>4462</v>
      </c>
      <c r="E103" s="3237" t="s">
        <v>4463</v>
      </c>
      <c r="F103" s="3237" t="s">
        <v>3662</v>
      </c>
      <c r="G103" s="3237" t="s">
        <v>3221</v>
      </c>
      <c r="H103" s="3236" t="s">
        <v>4464</v>
      </c>
      <c r="I103" s="3236">
        <v>30.45</v>
      </c>
    </row>
    <row r="104" spans="1:9" ht="11.25" hidden="1" customHeight="1" x14ac:dyDescent="0.2">
      <c r="A104" s="3237" t="s">
        <v>4460</v>
      </c>
      <c r="B104" s="3237" t="s">
        <v>3343</v>
      </c>
      <c r="C104" s="3237" t="s">
        <v>4461</v>
      </c>
      <c r="D104" s="3237" t="s">
        <v>4462</v>
      </c>
      <c r="E104" s="3237" t="s">
        <v>4463</v>
      </c>
      <c r="F104" s="3237" t="s">
        <v>3662</v>
      </c>
      <c r="G104" s="3237" t="s">
        <v>3221</v>
      </c>
      <c r="H104" s="3236" t="s">
        <v>4464</v>
      </c>
      <c r="I104" s="3236">
        <v>30.45</v>
      </c>
    </row>
    <row r="105" spans="1:9" ht="11.25" hidden="1" customHeight="1" x14ac:dyDescent="0.2">
      <c r="A105" s="3237" t="s">
        <v>4460</v>
      </c>
      <c r="B105" s="3237" t="s">
        <v>3344</v>
      </c>
      <c r="C105" s="3237" t="s">
        <v>4461</v>
      </c>
      <c r="D105" s="3237" t="s">
        <v>4462</v>
      </c>
      <c r="E105" s="3237" t="s">
        <v>4463</v>
      </c>
      <c r="F105" s="3237" t="s">
        <v>3662</v>
      </c>
      <c r="G105" s="3237" t="s">
        <v>3221</v>
      </c>
      <c r="H105" s="3236" t="s">
        <v>4464</v>
      </c>
      <c r="I105" s="3236">
        <v>30.45</v>
      </c>
    </row>
    <row r="106" spans="1:9" ht="11.25" hidden="1" customHeight="1" x14ac:dyDescent="0.2">
      <c r="A106" s="3237" t="s">
        <v>4460</v>
      </c>
      <c r="B106" s="3237" t="s">
        <v>3345</v>
      </c>
      <c r="C106" s="3237" t="s">
        <v>4461</v>
      </c>
      <c r="D106" s="3237" t="s">
        <v>4462</v>
      </c>
      <c r="E106" s="3237" t="s">
        <v>4463</v>
      </c>
      <c r="F106" s="3237" t="s">
        <v>3662</v>
      </c>
      <c r="G106" s="3237" t="s">
        <v>3221</v>
      </c>
      <c r="H106" s="3236" t="s">
        <v>4464</v>
      </c>
      <c r="I106" s="3236">
        <v>30.45</v>
      </c>
    </row>
    <row r="107" spans="1:9" ht="11.25" hidden="1" customHeight="1" x14ac:dyDescent="0.2">
      <c r="A107" s="3237" t="s">
        <v>4460</v>
      </c>
      <c r="B107" s="3237" t="s">
        <v>3346</v>
      </c>
      <c r="C107" s="3237" t="s">
        <v>4461</v>
      </c>
      <c r="D107" s="3237" t="s">
        <v>4462</v>
      </c>
      <c r="E107" s="3237" t="s">
        <v>4463</v>
      </c>
      <c r="F107" s="3237" t="s">
        <v>3662</v>
      </c>
      <c r="G107" s="3237" t="s">
        <v>3221</v>
      </c>
      <c r="H107" s="3236" t="s">
        <v>4464</v>
      </c>
      <c r="I107" s="3236">
        <v>30.45</v>
      </c>
    </row>
    <row r="108" spans="1:9" ht="11.25" hidden="1" customHeight="1" x14ac:dyDescent="0.2">
      <c r="A108" s="3237" t="s">
        <v>4460</v>
      </c>
      <c r="B108" s="3237" t="s">
        <v>3347</v>
      </c>
      <c r="C108" s="3237" t="s">
        <v>4461</v>
      </c>
      <c r="D108" s="3237" t="s">
        <v>4462</v>
      </c>
      <c r="E108" s="3237" t="s">
        <v>4463</v>
      </c>
      <c r="F108" s="3237" t="s">
        <v>3662</v>
      </c>
      <c r="G108" s="3237" t="s">
        <v>3221</v>
      </c>
      <c r="H108" s="3236" t="s">
        <v>4464</v>
      </c>
      <c r="I108" s="3236">
        <v>30.45</v>
      </c>
    </row>
    <row r="109" spans="1:9" ht="11.25" hidden="1" customHeight="1" x14ac:dyDescent="0.2">
      <c r="A109" s="3237" t="s">
        <v>4460</v>
      </c>
      <c r="B109" s="3237" t="s">
        <v>3348</v>
      </c>
      <c r="C109" s="3237" t="s">
        <v>4461</v>
      </c>
      <c r="D109" s="3237" t="s">
        <v>4462</v>
      </c>
      <c r="E109" s="3237" t="s">
        <v>4463</v>
      </c>
      <c r="F109" s="3237" t="s">
        <v>3662</v>
      </c>
      <c r="G109" s="3237" t="s">
        <v>3221</v>
      </c>
      <c r="H109" s="3236" t="s">
        <v>4464</v>
      </c>
      <c r="I109" s="3236">
        <v>30.45</v>
      </c>
    </row>
    <row r="110" spans="1:9" ht="11.25" hidden="1" customHeight="1" x14ac:dyDescent="0.2">
      <c r="A110" s="3237" t="s">
        <v>4460</v>
      </c>
      <c r="B110" s="3237" t="s">
        <v>3349</v>
      </c>
      <c r="C110" s="3237" t="s">
        <v>4461</v>
      </c>
      <c r="D110" s="3237" t="s">
        <v>4462</v>
      </c>
      <c r="E110" s="3237" t="s">
        <v>4463</v>
      </c>
      <c r="F110" s="3237" t="s">
        <v>3662</v>
      </c>
      <c r="G110" s="3237" t="s">
        <v>3221</v>
      </c>
      <c r="H110" s="3236" t="s">
        <v>4464</v>
      </c>
      <c r="I110" s="3236">
        <v>30.45</v>
      </c>
    </row>
    <row r="111" spans="1:9" ht="11.25" hidden="1" customHeight="1" x14ac:dyDescent="0.2">
      <c r="A111" s="3237" t="s">
        <v>4460</v>
      </c>
      <c r="B111" s="3237" t="s">
        <v>3350</v>
      </c>
      <c r="C111" s="3237" t="s">
        <v>4461</v>
      </c>
      <c r="D111" s="3237" t="s">
        <v>4462</v>
      </c>
      <c r="E111" s="3237" t="s">
        <v>4463</v>
      </c>
      <c r="F111" s="3237" t="s">
        <v>3662</v>
      </c>
      <c r="G111" s="3237" t="s">
        <v>3221</v>
      </c>
      <c r="H111" s="3236" t="s">
        <v>4464</v>
      </c>
      <c r="I111" s="3236">
        <v>30.45</v>
      </c>
    </row>
    <row r="112" spans="1:9" ht="11.25" hidden="1" customHeight="1" x14ac:dyDescent="0.2">
      <c r="A112" s="3237" t="s">
        <v>4460</v>
      </c>
      <c r="B112" s="3237" t="s">
        <v>3351</v>
      </c>
      <c r="C112" s="3237" t="s">
        <v>4461</v>
      </c>
      <c r="D112" s="3237" t="s">
        <v>4462</v>
      </c>
      <c r="E112" s="3237" t="s">
        <v>4463</v>
      </c>
      <c r="F112" s="3237" t="s">
        <v>3662</v>
      </c>
      <c r="G112" s="3237" t="s">
        <v>3221</v>
      </c>
      <c r="H112" s="3236" t="s">
        <v>4464</v>
      </c>
      <c r="I112" s="3236">
        <v>30.45</v>
      </c>
    </row>
    <row r="113" spans="1:9" ht="11.25" hidden="1" customHeight="1" x14ac:dyDescent="0.2">
      <c r="A113" s="3237" t="s">
        <v>4460</v>
      </c>
      <c r="B113" s="3237" t="s">
        <v>3352</v>
      </c>
      <c r="C113" s="3237" t="s">
        <v>4461</v>
      </c>
      <c r="D113" s="3237" t="s">
        <v>4462</v>
      </c>
      <c r="E113" s="3237" t="s">
        <v>4463</v>
      </c>
      <c r="F113" s="3237" t="s">
        <v>3662</v>
      </c>
      <c r="G113" s="3237" t="s">
        <v>3221</v>
      </c>
      <c r="H113" s="3236" t="s">
        <v>4464</v>
      </c>
      <c r="I113" s="3236">
        <v>30.45</v>
      </c>
    </row>
    <row r="114" spans="1:9" ht="11.25" hidden="1" customHeight="1" x14ac:dyDescent="0.2">
      <c r="A114" s="3237" t="s">
        <v>4460</v>
      </c>
      <c r="B114" s="3237" t="s">
        <v>3353</v>
      </c>
      <c r="C114" s="3237" t="s">
        <v>4461</v>
      </c>
      <c r="D114" s="3237" t="s">
        <v>4462</v>
      </c>
      <c r="E114" s="3237" t="s">
        <v>4463</v>
      </c>
      <c r="F114" s="3237" t="s">
        <v>3662</v>
      </c>
      <c r="G114" s="3237" t="s">
        <v>3221</v>
      </c>
      <c r="H114" s="3236" t="s">
        <v>4464</v>
      </c>
      <c r="I114" s="3236">
        <v>30.45</v>
      </c>
    </row>
    <row r="115" spans="1:9" ht="11.25" hidden="1" customHeight="1" x14ac:dyDescent="0.2">
      <c r="A115" s="3237" t="s">
        <v>4460</v>
      </c>
      <c r="B115" s="3237" t="s">
        <v>3354</v>
      </c>
      <c r="C115" s="3237" t="s">
        <v>4461</v>
      </c>
      <c r="D115" s="3237" t="s">
        <v>4462</v>
      </c>
      <c r="E115" s="3237" t="s">
        <v>4463</v>
      </c>
      <c r="F115" s="3237" t="s">
        <v>3662</v>
      </c>
      <c r="G115" s="3237" t="s">
        <v>3221</v>
      </c>
      <c r="H115" s="3236" t="s">
        <v>4464</v>
      </c>
      <c r="I115" s="3236">
        <v>30.45</v>
      </c>
    </row>
    <row r="116" spans="1:9" ht="11.25" hidden="1" customHeight="1" x14ac:dyDescent="0.2">
      <c r="A116" s="3237" t="s">
        <v>4460</v>
      </c>
      <c r="B116" s="3237" t="s">
        <v>3355</v>
      </c>
      <c r="C116" s="3237" t="s">
        <v>4461</v>
      </c>
      <c r="D116" s="3237" t="s">
        <v>4462</v>
      </c>
      <c r="E116" s="3237" t="s">
        <v>4463</v>
      </c>
      <c r="F116" s="3237" t="s">
        <v>4444</v>
      </c>
      <c r="G116" s="3237" t="s">
        <v>3221</v>
      </c>
      <c r="H116" s="3236" t="s">
        <v>4464</v>
      </c>
      <c r="I116" s="3236">
        <v>30.45</v>
      </c>
    </row>
    <row r="117" spans="1:9" ht="11.25" hidden="1" customHeight="1" x14ac:dyDescent="0.2">
      <c r="A117" s="3237" t="s">
        <v>4460</v>
      </c>
      <c r="B117" s="3237" t="s">
        <v>3356</v>
      </c>
      <c r="C117" s="3237" t="s">
        <v>4461</v>
      </c>
      <c r="D117" s="3237" t="s">
        <v>4462</v>
      </c>
      <c r="E117" s="3237" t="s">
        <v>4463</v>
      </c>
      <c r="F117" s="3237" t="s">
        <v>4444</v>
      </c>
      <c r="G117" s="3237" t="s">
        <v>3221</v>
      </c>
      <c r="H117" s="3236" t="s">
        <v>4464</v>
      </c>
      <c r="I117" s="3236">
        <v>30.45</v>
      </c>
    </row>
    <row r="118" spans="1:9" ht="11.25" hidden="1" customHeight="1" x14ac:dyDescent="0.2">
      <c r="A118" s="3237" t="s">
        <v>4460</v>
      </c>
      <c r="B118" s="3237" t="s">
        <v>3357</v>
      </c>
      <c r="C118" s="3237" t="s">
        <v>4461</v>
      </c>
      <c r="D118" s="3237" t="s">
        <v>4462</v>
      </c>
      <c r="E118" s="3237" t="s">
        <v>4463</v>
      </c>
      <c r="F118" s="3237" t="s">
        <v>4444</v>
      </c>
      <c r="G118" s="3237" t="s">
        <v>3221</v>
      </c>
      <c r="H118" s="3236" t="s">
        <v>4464</v>
      </c>
      <c r="I118" s="3236">
        <v>30.45</v>
      </c>
    </row>
    <row r="119" spans="1:9" ht="11.25" hidden="1" customHeight="1" x14ac:dyDescent="0.2">
      <c r="A119" s="3237" t="s">
        <v>4460</v>
      </c>
      <c r="B119" s="3237" t="s">
        <v>3358</v>
      </c>
      <c r="C119" s="3237" t="s">
        <v>4461</v>
      </c>
      <c r="D119" s="3237" t="s">
        <v>4462</v>
      </c>
      <c r="E119" s="3237" t="s">
        <v>4463</v>
      </c>
      <c r="F119" s="3237" t="s">
        <v>4444</v>
      </c>
      <c r="G119" s="3237" t="s">
        <v>3221</v>
      </c>
      <c r="H119" s="3236" t="s">
        <v>4464</v>
      </c>
      <c r="I119" s="3236">
        <v>30.45</v>
      </c>
    </row>
    <row r="120" spans="1:9" ht="11.25" hidden="1" customHeight="1" x14ac:dyDescent="0.2">
      <c r="A120" s="3237" t="s">
        <v>4460</v>
      </c>
      <c r="B120" s="3237" t="s">
        <v>3359</v>
      </c>
      <c r="C120" s="3237" t="s">
        <v>4461</v>
      </c>
      <c r="D120" s="3237" t="s">
        <v>4462</v>
      </c>
      <c r="E120" s="3237" t="s">
        <v>4463</v>
      </c>
      <c r="F120" s="3237" t="s">
        <v>4444</v>
      </c>
      <c r="G120" s="3237" t="s">
        <v>3221</v>
      </c>
      <c r="H120" s="3236" t="s">
        <v>4464</v>
      </c>
      <c r="I120" s="3236">
        <v>30.45</v>
      </c>
    </row>
    <row r="121" spans="1:9" ht="11.25" hidden="1" customHeight="1" x14ac:dyDescent="0.2">
      <c r="A121" s="3237" t="s">
        <v>4460</v>
      </c>
      <c r="B121" s="3237" t="s">
        <v>3360</v>
      </c>
      <c r="C121" s="3237" t="s">
        <v>4461</v>
      </c>
      <c r="D121" s="3237" t="s">
        <v>4462</v>
      </c>
      <c r="E121" s="3237" t="s">
        <v>4463</v>
      </c>
      <c r="F121" s="3237" t="s">
        <v>4444</v>
      </c>
      <c r="G121" s="3237" t="s">
        <v>3221</v>
      </c>
      <c r="H121" s="3236" t="s">
        <v>4464</v>
      </c>
      <c r="I121" s="3236">
        <v>30.45</v>
      </c>
    </row>
    <row r="122" spans="1:9" ht="11.25" hidden="1" customHeight="1" x14ac:dyDescent="0.2">
      <c r="A122" s="3237" t="s">
        <v>4460</v>
      </c>
      <c r="B122" s="3237" t="s">
        <v>3361</v>
      </c>
      <c r="C122" s="3237" t="s">
        <v>4461</v>
      </c>
      <c r="D122" s="3237" t="s">
        <v>4462</v>
      </c>
      <c r="E122" s="3237" t="s">
        <v>4463</v>
      </c>
      <c r="F122" s="3237" t="s">
        <v>4444</v>
      </c>
      <c r="G122" s="3237" t="s">
        <v>3221</v>
      </c>
      <c r="H122" s="3236" t="s">
        <v>4464</v>
      </c>
      <c r="I122" s="3236">
        <v>30.45</v>
      </c>
    </row>
    <row r="123" spans="1:9" ht="11.25" hidden="1" customHeight="1" x14ac:dyDescent="0.2">
      <c r="A123" s="3237" t="s">
        <v>4460</v>
      </c>
      <c r="B123" s="3237" t="s">
        <v>3362</v>
      </c>
      <c r="C123" s="3237" t="s">
        <v>4461</v>
      </c>
      <c r="D123" s="3237" t="s">
        <v>4462</v>
      </c>
      <c r="E123" s="3237" t="s">
        <v>4463</v>
      </c>
      <c r="F123" s="3237" t="s">
        <v>4444</v>
      </c>
      <c r="G123" s="3237" t="s">
        <v>3221</v>
      </c>
      <c r="H123" s="3236" t="s">
        <v>4464</v>
      </c>
      <c r="I123" s="3236">
        <v>30.45</v>
      </c>
    </row>
    <row r="124" spans="1:9" ht="11.25" hidden="1" customHeight="1" x14ac:dyDescent="0.2">
      <c r="A124" s="3237" t="s">
        <v>4460</v>
      </c>
      <c r="B124" s="3237" t="s">
        <v>3363</v>
      </c>
      <c r="C124" s="3237" t="s">
        <v>4461</v>
      </c>
      <c r="D124" s="3237" t="s">
        <v>4462</v>
      </c>
      <c r="E124" s="3237" t="s">
        <v>4463</v>
      </c>
      <c r="F124" s="3237" t="s">
        <v>4444</v>
      </c>
      <c r="G124" s="3237" t="s">
        <v>3221</v>
      </c>
      <c r="H124" s="3236" t="s">
        <v>4464</v>
      </c>
      <c r="I124" s="3236">
        <v>30.45</v>
      </c>
    </row>
    <row r="125" spans="1:9" ht="11.25" hidden="1" customHeight="1" x14ac:dyDescent="0.2">
      <c r="A125" s="3237" t="s">
        <v>4460</v>
      </c>
      <c r="B125" s="3237" t="s">
        <v>3245</v>
      </c>
      <c r="C125" s="3237" t="s">
        <v>4461</v>
      </c>
      <c r="D125" s="3237" t="s">
        <v>4462</v>
      </c>
      <c r="E125" s="3237" t="s">
        <v>4463</v>
      </c>
      <c r="F125" s="3237" t="s">
        <v>4444</v>
      </c>
      <c r="G125" s="3237" t="s">
        <v>3221</v>
      </c>
      <c r="H125" s="3236" t="s">
        <v>4464</v>
      </c>
      <c r="I125" s="3236">
        <v>30.45</v>
      </c>
    </row>
    <row r="126" spans="1:9" ht="11.25" hidden="1" customHeight="1" x14ac:dyDescent="0.2">
      <c r="A126" s="3237" t="s">
        <v>4460</v>
      </c>
      <c r="B126" s="3237" t="s">
        <v>3364</v>
      </c>
      <c r="C126" s="3237" t="s">
        <v>4461</v>
      </c>
      <c r="D126" s="3237" t="s">
        <v>4462</v>
      </c>
      <c r="E126" s="3237" t="s">
        <v>4463</v>
      </c>
      <c r="F126" s="3237" t="s">
        <v>4444</v>
      </c>
      <c r="G126" s="3237" t="s">
        <v>3221</v>
      </c>
      <c r="H126" s="3236" t="s">
        <v>4464</v>
      </c>
      <c r="I126" s="3236">
        <v>30.45</v>
      </c>
    </row>
    <row r="127" spans="1:9" ht="11.25" hidden="1" customHeight="1" x14ac:dyDescent="0.2">
      <c r="A127" s="3237" t="s">
        <v>4460</v>
      </c>
      <c r="B127" s="3237" t="s">
        <v>3365</v>
      </c>
      <c r="C127" s="3237" t="s">
        <v>4461</v>
      </c>
      <c r="D127" s="3237" t="s">
        <v>4462</v>
      </c>
      <c r="E127" s="3237" t="s">
        <v>4463</v>
      </c>
      <c r="F127" s="3237" t="s">
        <v>4444</v>
      </c>
      <c r="G127" s="3237" t="s">
        <v>3221</v>
      </c>
      <c r="H127" s="3236" t="s">
        <v>4464</v>
      </c>
      <c r="I127" s="3236">
        <v>30.45</v>
      </c>
    </row>
    <row r="128" spans="1:9" ht="11.25" hidden="1" customHeight="1" x14ac:dyDescent="0.2">
      <c r="A128" s="3237" t="s">
        <v>4460</v>
      </c>
      <c r="B128" s="3237" t="s">
        <v>3366</v>
      </c>
      <c r="C128" s="3237" t="s">
        <v>4461</v>
      </c>
      <c r="D128" s="3237" t="s">
        <v>4462</v>
      </c>
      <c r="E128" s="3237" t="s">
        <v>4463</v>
      </c>
      <c r="F128" s="3237" t="s">
        <v>4444</v>
      </c>
      <c r="G128" s="3237" t="s">
        <v>3221</v>
      </c>
      <c r="H128" s="3236" t="s">
        <v>4464</v>
      </c>
      <c r="I128" s="3236">
        <v>30.45</v>
      </c>
    </row>
    <row r="129" spans="1:9" ht="11.25" hidden="1" customHeight="1" x14ac:dyDescent="0.2">
      <c r="A129" s="3237" t="s">
        <v>4460</v>
      </c>
      <c r="B129" s="3237" t="s">
        <v>3367</v>
      </c>
      <c r="C129" s="3237" t="s">
        <v>4461</v>
      </c>
      <c r="D129" s="3237" t="s">
        <v>4462</v>
      </c>
      <c r="E129" s="3237" t="s">
        <v>4463</v>
      </c>
      <c r="F129" s="3237" t="s">
        <v>4444</v>
      </c>
      <c r="G129" s="3237" t="s">
        <v>3221</v>
      </c>
      <c r="H129" s="3236" t="s">
        <v>4464</v>
      </c>
      <c r="I129" s="3236">
        <v>30.45</v>
      </c>
    </row>
    <row r="130" spans="1:9" ht="11.25" hidden="1" customHeight="1" x14ac:dyDescent="0.2">
      <c r="A130" s="3237" t="s">
        <v>4460</v>
      </c>
      <c r="B130" s="3237" t="s">
        <v>3368</v>
      </c>
      <c r="C130" s="3237" t="s">
        <v>4461</v>
      </c>
      <c r="D130" s="3237" t="s">
        <v>4462</v>
      </c>
      <c r="E130" s="3237" t="s">
        <v>4463</v>
      </c>
      <c r="F130" s="3237" t="s">
        <v>4444</v>
      </c>
      <c r="G130" s="3237" t="s">
        <v>3221</v>
      </c>
      <c r="H130" s="3236" t="s">
        <v>4464</v>
      </c>
      <c r="I130" s="3236">
        <v>30.45</v>
      </c>
    </row>
    <row r="131" spans="1:9" ht="11.25" hidden="1" customHeight="1" x14ac:dyDescent="0.2">
      <c r="A131" s="3237" t="s">
        <v>4460</v>
      </c>
      <c r="B131" s="3237" t="s">
        <v>3369</v>
      </c>
      <c r="C131" s="3237" t="s">
        <v>4461</v>
      </c>
      <c r="D131" s="3237" t="s">
        <v>4462</v>
      </c>
      <c r="E131" s="3237" t="s">
        <v>4463</v>
      </c>
      <c r="F131" s="3237" t="s">
        <v>4444</v>
      </c>
      <c r="G131" s="3237" t="s">
        <v>3221</v>
      </c>
      <c r="H131" s="3236" t="s">
        <v>4464</v>
      </c>
      <c r="I131" s="3236">
        <v>30.45</v>
      </c>
    </row>
    <row r="132" spans="1:9" ht="11.25" hidden="1" customHeight="1" x14ac:dyDescent="0.2">
      <c r="A132" s="3237" t="s">
        <v>4460</v>
      </c>
      <c r="B132" s="3237" t="s">
        <v>3370</v>
      </c>
      <c r="C132" s="3237" t="s">
        <v>4461</v>
      </c>
      <c r="D132" s="3237" t="s">
        <v>4462</v>
      </c>
      <c r="E132" s="3237" t="s">
        <v>4463</v>
      </c>
      <c r="F132" s="3237" t="s">
        <v>4444</v>
      </c>
      <c r="G132" s="3237" t="s">
        <v>3221</v>
      </c>
      <c r="H132" s="3236" t="s">
        <v>4464</v>
      </c>
      <c r="I132" s="3236">
        <v>30.45</v>
      </c>
    </row>
    <row r="133" spans="1:9" ht="11.25" hidden="1" customHeight="1" x14ac:dyDescent="0.2">
      <c r="A133" s="3237" t="s">
        <v>4460</v>
      </c>
      <c r="B133" s="3237" t="s">
        <v>3371</v>
      </c>
      <c r="C133" s="3237" t="s">
        <v>4461</v>
      </c>
      <c r="D133" s="3237" t="s">
        <v>4462</v>
      </c>
      <c r="E133" s="3237" t="s">
        <v>4463</v>
      </c>
      <c r="F133" s="3237" t="s">
        <v>4444</v>
      </c>
      <c r="G133" s="3237" t="s">
        <v>3221</v>
      </c>
      <c r="H133" s="3236" t="s">
        <v>4464</v>
      </c>
      <c r="I133" s="3236">
        <v>30.45</v>
      </c>
    </row>
    <row r="134" spans="1:9" ht="11.25" hidden="1" customHeight="1" x14ac:dyDescent="0.2">
      <c r="A134" s="3237" t="s">
        <v>4460</v>
      </c>
      <c r="B134" s="3237" t="s">
        <v>3372</v>
      </c>
      <c r="C134" s="3237" t="s">
        <v>4461</v>
      </c>
      <c r="D134" s="3237" t="s">
        <v>4462</v>
      </c>
      <c r="E134" s="3237" t="s">
        <v>4463</v>
      </c>
      <c r="F134" s="3237" t="s">
        <v>4444</v>
      </c>
      <c r="G134" s="3237" t="s">
        <v>3221</v>
      </c>
      <c r="H134" s="3236" t="s">
        <v>4464</v>
      </c>
      <c r="I134" s="3236">
        <v>30.45</v>
      </c>
    </row>
    <row r="135" spans="1:9" ht="11.25" hidden="1" customHeight="1" x14ac:dyDescent="0.2">
      <c r="A135" s="3237" t="s">
        <v>4460</v>
      </c>
      <c r="B135" s="3237" t="s">
        <v>3373</v>
      </c>
      <c r="C135" s="3237" t="s">
        <v>4461</v>
      </c>
      <c r="D135" s="3237" t="s">
        <v>4462</v>
      </c>
      <c r="E135" s="3237" t="s">
        <v>4463</v>
      </c>
      <c r="F135" s="3237" t="s">
        <v>4444</v>
      </c>
      <c r="G135" s="3237" t="s">
        <v>3221</v>
      </c>
      <c r="H135" s="3236" t="s">
        <v>4464</v>
      </c>
      <c r="I135" s="3236">
        <v>30.45</v>
      </c>
    </row>
    <row r="136" spans="1:9" ht="11.25" hidden="1" customHeight="1" x14ac:dyDescent="0.2">
      <c r="A136" s="3237" t="s">
        <v>4460</v>
      </c>
      <c r="B136" s="3237" t="s">
        <v>3374</v>
      </c>
      <c r="C136" s="3237" t="s">
        <v>4461</v>
      </c>
      <c r="D136" s="3237" t="s">
        <v>4462</v>
      </c>
      <c r="E136" s="3237" t="s">
        <v>4463</v>
      </c>
      <c r="F136" s="3237" t="s">
        <v>4444</v>
      </c>
      <c r="G136" s="3237" t="s">
        <v>3221</v>
      </c>
      <c r="H136" s="3236" t="s">
        <v>4464</v>
      </c>
      <c r="I136" s="3236">
        <v>30.45</v>
      </c>
    </row>
    <row r="137" spans="1:9" ht="11.25" hidden="1" customHeight="1" x14ac:dyDescent="0.2">
      <c r="A137" s="3237" t="s">
        <v>4460</v>
      </c>
      <c r="B137" s="3237" t="s">
        <v>3375</v>
      </c>
      <c r="C137" s="3237" t="s">
        <v>4461</v>
      </c>
      <c r="D137" s="3237" t="s">
        <v>4462</v>
      </c>
      <c r="E137" s="3237" t="s">
        <v>4463</v>
      </c>
      <c r="F137" s="3237" t="s">
        <v>4444</v>
      </c>
      <c r="G137" s="3237" t="s">
        <v>3221</v>
      </c>
      <c r="H137" s="3236" t="s">
        <v>4464</v>
      </c>
      <c r="I137" s="3236">
        <v>30.45</v>
      </c>
    </row>
    <row r="138" spans="1:9" ht="11.25" hidden="1" customHeight="1" x14ac:dyDescent="0.2">
      <c r="A138" s="3237" t="s">
        <v>4460</v>
      </c>
      <c r="B138" s="3237" t="s">
        <v>3376</v>
      </c>
      <c r="C138" s="3237" t="s">
        <v>4461</v>
      </c>
      <c r="D138" s="3237" t="s">
        <v>4462</v>
      </c>
      <c r="E138" s="3237" t="s">
        <v>4463</v>
      </c>
      <c r="F138" s="3237" t="s">
        <v>4444</v>
      </c>
      <c r="G138" s="3237" t="s">
        <v>3221</v>
      </c>
      <c r="H138" s="3236" t="s">
        <v>4464</v>
      </c>
      <c r="I138" s="3236">
        <v>30.45</v>
      </c>
    </row>
    <row r="139" spans="1:9" ht="11.25" hidden="1" customHeight="1" x14ac:dyDescent="0.2">
      <c r="A139" s="3237" t="s">
        <v>4460</v>
      </c>
      <c r="B139" s="3237" t="s">
        <v>3377</v>
      </c>
      <c r="C139" s="3237" t="s">
        <v>4461</v>
      </c>
      <c r="D139" s="3237" t="s">
        <v>4462</v>
      </c>
      <c r="E139" s="3237" t="s">
        <v>4463</v>
      </c>
      <c r="F139" s="3237" t="s">
        <v>4444</v>
      </c>
      <c r="G139" s="3237" t="s">
        <v>3221</v>
      </c>
      <c r="H139" s="3236" t="s">
        <v>4464</v>
      </c>
      <c r="I139" s="3236">
        <v>30.45</v>
      </c>
    </row>
    <row r="140" spans="1:9" ht="11.25" hidden="1" customHeight="1" x14ac:dyDescent="0.2">
      <c r="A140" s="3237" t="s">
        <v>4460</v>
      </c>
      <c r="B140" s="3237" t="s">
        <v>3378</v>
      </c>
      <c r="C140" s="3237" t="s">
        <v>4461</v>
      </c>
      <c r="D140" s="3237" t="s">
        <v>4462</v>
      </c>
      <c r="E140" s="3237" t="s">
        <v>4463</v>
      </c>
      <c r="F140" s="3237" t="s">
        <v>4444</v>
      </c>
      <c r="G140" s="3237" t="s">
        <v>3221</v>
      </c>
      <c r="H140" s="3236" t="s">
        <v>4464</v>
      </c>
      <c r="I140" s="3236">
        <v>30.45</v>
      </c>
    </row>
    <row r="141" spans="1:9" ht="11.25" hidden="1" customHeight="1" x14ac:dyDescent="0.2">
      <c r="A141" s="3237" t="s">
        <v>4460</v>
      </c>
      <c r="B141" s="3237" t="s">
        <v>3379</v>
      </c>
      <c r="C141" s="3237" t="s">
        <v>4461</v>
      </c>
      <c r="D141" s="3237" t="s">
        <v>4462</v>
      </c>
      <c r="E141" s="3237" t="s">
        <v>4463</v>
      </c>
      <c r="F141" s="3237" t="s">
        <v>4444</v>
      </c>
      <c r="G141" s="3237" t="s">
        <v>3221</v>
      </c>
      <c r="H141" s="3236" t="s">
        <v>4464</v>
      </c>
      <c r="I141" s="3236">
        <v>30.45</v>
      </c>
    </row>
    <row r="142" spans="1:9" ht="11.25" hidden="1" customHeight="1" x14ac:dyDescent="0.2">
      <c r="A142" s="3237" t="s">
        <v>4460</v>
      </c>
      <c r="B142" s="3237" t="s">
        <v>3380</v>
      </c>
      <c r="C142" s="3237" t="s">
        <v>4461</v>
      </c>
      <c r="D142" s="3237" t="s">
        <v>4462</v>
      </c>
      <c r="E142" s="3237" t="s">
        <v>4463</v>
      </c>
      <c r="F142" s="3237" t="s">
        <v>4444</v>
      </c>
      <c r="G142" s="3237" t="s">
        <v>3221</v>
      </c>
      <c r="H142" s="3236" t="s">
        <v>4464</v>
      </c>
      <c r="I142" s="3236">
        <v>30.45</v>
      </c>
    </row>
    <row r="143" spans="1:9" ht="11.25" hidden="1" customHeight="1" x14ac:dyDescent="0.2">
      <c r="A143" s="3237" t="s">
        <v>4460</v>
      </c>
      <c r="B143" s="3237" t="s">
        <v>3381</v>
      </c>
      <c r="C143" s="3237" t="s">
        <v>4461</v>
      </c>
      <c r="D143" s="3237" t="s">
        <v>4462</v>
      </c>
      <c r="E143" s="3237" t="s">
        <v>4463</v>
      </c>
      <c r="F143" s="3237" t="s">
        <v>4444</v>
      </c>
      <c r="G143" s="3237" t="s">
        <v>3221</v>
      </c>
      <c r="H143" s="3236" t="s">
        <v>4464</v>
      </c>
      <c r="I143" s="3236">
        <v>30.45</v>
      </c>
    </row>
    <row r="144" spans="1:9" ht="11.25" hidden="1" customHeight="1" x14ac:dyDescent="0.2">
      <c r="A144" s="3237" t="s">
        <v>4460</v>
      </c>
      <c r="B144" s="3237" t="s">
        <v>3382</v>
      </c>
      <c r="C144" s="3237" t="s">
        <v>4461</v>
      </c>
      <c r="D144" s="3237" t="s">
        <v>4462</v>
      </c>
      <c r="E144" s="3237" t="s">
        <v>4463</v>
      </c>
      <c r="F144" s="3237" t="s">
        <v>4444</v>
      </c>
      <c r="G144" s="3237" t="s">
        <v>3221</v>
      </c>
      <c r="H144" s="3236" t="s">
        <v>4464</v>
      </c>
      <c r="I144" s="3236">
        <v>30.45</v>
      </c>
    </row>
    <row r="145" spans="1:9" ht="11.25" hidden="1" customHeight="1" x14ac:dyDescent="0.2">
      <c r="A145" s="3237" t="s">
        <v>4460</v>
      </c>
      <c r="B145" s="3237" t="s">
        <v>3383</v>
      </c>
      <c r="C145" s="3237" t="s">
        <v>4461</v>
      </c>
      <c r="D145" s="3237" t="s">
        <v>4462</v>
      </c>
      <c r="E145" s="3237" t="s">
        <v>4463</v>
      </c>
      <c r="F145" s="3237" t="s">
        <v>4444</v>
      </c>
      <c r="G145" s="3237" t="s">
        <v>3221</v>
      </c>
      <c r="H145" s="3236" t="s">
        <v>4464</v>
      </c>
      <c r="I145" s="3236">
        <v>30.45</v>
      </c>
    </row>
    <row r="146" spans="1:9" ht="11.25" hidden="1" customHeight="1" x14ac:dyDescent="0.2">
      <c r="A146" s="3237" t="s">
        <v>4460</v>
      </c>
      <c r="B146" s="3237" t="s">
        <v>3384</v>
      </c>
      <c r="C146" s="3237" t="s">
        <v>4461</v>
      </c>
      <c r="D146" s="3237" t="s">
        <v>4462</v>
      </c>
      <c r="E146" s="3237" t="s">
        <v>4463</v>
      </c>
      <c r="F146" s="3237" t="s">
        <v>4444</v>
      </c>
      <c r="G146" s="3237" t="s">
        <v>3221</v>
      </c>
      <c r="H146" s="3236" t="s">
        <v>4464</v>
      </c>
      <c r="I146" s="3236">
        <v>30.45</v>
      </c>
    </row>
    <row r="147" spans="1:9" ht="11.25" hidden="1" customHeight="1" x14ac:dyDescent="0.2">
      <c r="A147" s="3237" t="s">
        <v>4460</v>
      </c>
      <c r="B147" s="3237" t="s">
        <v>3385</v>
      </c>
      <c r="C147" s="3237" t="s">
        <v>4461</v>
      </c>
      <c r="D147" s="3237" t="s">
        <v>4462</v>
      </c>
      <c r="E147" s="3237" t="s">
        <v>4463</v>
      </c>
      <c r="F147" s="3237" t="s">
        <v>4444</v>
      </c>
      <c r="G147" s="3237" t="s">
        <v>3221</v>
      </c>
      <c r="H147" s="3236" t="s">
        <v>4464</v>
      </c>
      <c r="I147" s="3236">
        <v>30.45</v>
      </c>
    </row>
    <row r="148" spans="1:9" ht="11.25" hidden="1" customHeight="1" x14ac:dyDescent="0.2">
      <c r="A148" s="3237" t="s">
        <v>4460</v>
      </c>
      <c r="B148" s="3237" t="s">
        <v>3386</v>
      </c>
      <c r="C148" s="3237" t="s">
        <v>4461</v>
      </c>
      <c r="D148" s="3237" t="s">
        <v>4462</v>
      </c>
      <c r="E148" s="3237" t="s">
        <v>4463</v>
      </c>
      <c r="F148" s="3237" t="s">
        <v>4444</v>
      </c>
      <c r="G148" s="3237" t="s">
        <v>3221</v>
      </c>
      <c r="H148" s="3236" t="s">
        <v>4464</v>
      </c>
      <c r="I148" s="3236">
        <v>30.45</v>
      </c>
    </row>
    <row r="149" spans="1:9" ht="11.25" hidden="1" customHeight="1" x14ac:dyDescent="0.2">
      <c r="A149" s="3237" t="s">
        <v>4460</v>
      </c>
      <c r="B149" s="3237" t="s">
        <v>3387</v>
      </c>
      <c r="C149" s="3237" t="s">
        <v>4461</v>
      </c>
      <c r="D149" s="3237" t="s">
        <v>4462</v>
      </c>
      <c r="E149" s="3237" t="s">
        <v>4463</v>
      </c>
      <c r="F149" s="3237" t="s">
        <v>4444</v>
      </c>
      <c r="G149" s="3237" t="s">
        <v>3221</v>
      </c>
      <c r="H149" s="3236" t="s">
        <v>4464</v>
      </c>
      <c r="I149" s="3236">
        <v>30.45</v>
      </c>
    </row>
    <row r="150" spans="1:9" ht="11.25" hidden="1" customHeight="1" x14ac:dyDescent="0.2">
      <c r="A150" s="3237" t="s">
        <v>4460</v>
      </c>
      <c r="B150" s="3237" t="s">
        <v>3388</v>
      </c>
      <c r="C150" s="3237" t="s">
        <v>4461</v>
      </c>
      <c r="D150" s="3237" t="s">
        <v>4462</v>
      </c>
      <c r="E150" s="3237" t="s">
        <v>4463</v>
      </c>
      <c r="F150" s="3237" t="s">
        <v>4444</v>
      </c>
      <c r="G150" s="3237" t="s">
        <v>3221</v>
      </c>
      <c r="H150" s="3236" t="s">
        <v>4464</v>
      </c>
      <c r="I150" s="3236">
        <v>30.45</v>
      </c>
    </row>
    <row r="151" spans="1:9" ht="11.25" hidden="1" customHeight="1" x14ac:dyDescent="0.2">
      <c r="A151" s="3237" t="s">
        <v>4460</v>
      </c>
      <c r="B151" s="3237" t="s">
        <v>3389</v>
      </c>
      <c r="C151" s="3237" t="s">
        <v>4461</v>
      </c>
      <c r="D151" s="3237" t="s">
        <v>4462</v>
      </c>
      <c r="E151" s="3237" t="s">
        <v>4463</v>
      </c>
      <c r="F151" s="3237" t="s">
        <v>4444</v>
      </c>
      <c r="G151" s="3237" t="s">
        <v>3221</v>
      </c>
      <c r="H151" s="3236" t="s">
        <v>4464</v>
      </c>
      <c r="I151" s="3236">
        <v>30.45</v>
      </c>
    </row>
    <row r="152" spans="1:9" ht="11.25" hidden="1" customHeight="1" x14ac:dyDescent="0.2">
      <c r="A152" s="3237" t="s">
        <v>4460</v>
      </c>
      <c r="B152" s="3237" t="s">
        <v>3390</v>
      </c>
      <c r="C152" s="3237" t="s">
        <v>4461</v>
      </c>
      <c r="D152" s="3237" t="s">
        <v>4462</v>
      </c>
      <c r="E152" s="3237" t="s">
        <v>4463</v>
      </c>
      <c r="F152" s="3237" t="s">
        <v>4444</v>
      </c>
      <c r="G152" s="3237" t="s">
        <v>3221</v>
      </c>
      <c r="H152" s="3236" t="s">
        <v>4464</v>
      </c>
      <c r="I152" s="3236">
        <v>30.45</v>
      </c>
    </row>
    <row r="153" spans="1:9" ht="11.25" hidden="1" customHeight="1" x14ac:dyDescent="0.2">
      <c r="A153" s="3237" t="s">
        <v>4460</v>
      </c>
      <c r="B153" s="3237" t="s">
        <v>3391</v>
      </c>
      <c r="C153" s="3237" t="s">
        <v>4461</v>
      </c>
      <c r="D153" s="3237" t="s">
        <v>4462</v>
      </c>
      <c r="E153" s="3237" t="s">
        <v>4463</v>
      </c>
      <c r="F153" s="3237" t="s">
        <v>4444</v>
      </c>
      <c r="G153" s="3237" t="s">
        <v>3221</v>
      </c>
      <c r="H153" s="3236" t="s">
        <v>4464</v>
      </c>
      <c r="I153" s="3236">
        <v>30.45</v>
      </c>
    </row>
    <row r="154" spans="1:9" ht="11.25" hidden="1" customHeight="1" x14ac:dyDescent="0.2">
      <c r="A154" s="3237" t="s">
        <v>4460</v>
      </c>
      <c r="B154" s="3237" t="s">
        <v>3392</v>
      </c>
      <c r="C154" s="3237" t="s">
        <v>4461</v>
      </c>
      <c r="D154" s="3237" t="s">
        <v>4462</v>
      </c>
      <c r="E154" s="3237" t="s">
        <v>4463</v>
      </c>
      <c r="F154" s="3237" t="s">
        <v>4444</v>
      </c>
      <c r="G154" s="3237" t="s">
        <v>3221</v>
      </c>
      <c r="H154" s="3236" t="s">
        <v>4464</v>
      </c>
      <c r="I154" s="3236">
        <v>30.45</v>
      </c>
    </row>
    <row r="155" spans="1:9" ht="11.25" hidden="1" customHeight="1" x14ac:dyDescent="0.2">
      <c r="A155" s="3237" t="s">
        <v>4460</v>
      </c>
      <c r="B155" s="3237" t="s">
        <v>3393</v>
      </c>
      <c r="C155" s="3237" t="s">
        <v>4461</v>
      </c>
      <c r="D155" s="3237" t="s">
        <v>4462</v>
      </c>
      <c r="E155" s="3237" t="s">
        <v>4463</v>
      </c>
      <c r="F155" s="3237" t="s">
        <v>4444</v>
      </c>
      <c r="G155" s="3237" t="s">
        <v>3221</v>
      </c>
      <c r="H155" s="3236" t="s">
        <v>4464</v>
      </c>
      <c r="I155" s="3236">
        <v>30.45</v>
      </c>
    </row>
    <row r="156" spans="1:9" ht="11.25" hidden="1" customHeight="1" x14ac:dyDescent="0.2">
      <c r="A156" s="3237" t="s">
        <v>4460</v>
      </c>
      <c r="B156" s="3237" t="s">
        <v>3394</v>
      </c>
      <c r="C156" s="3237" t="s">
        <v>4461</v>
      </c>
      <c r="D156" s="3237" t="s">
        <v>4462</v>
      </c>
      <c r="E156" s="3237" t="s">
        <v>4463</v>
      </c>
      <c r="F156" s="3237" t="s">
        <v>4444</v>
      </c>
      <c r="G156" s="3237" t="s">
        <v>3221</v>
      </c>
      <c r="H156" s="3236" t="s">
        <v>4464</v>
      </c>
      <c r="I156" s="3236">
        <v>30.45</v>
      </c>
    </row>
    <row r="157" spans="1:9" ht="11.25" hidden="1" customHeight="1" x14ac:dyDescent="0.2">
      <c r="A157" s="3237" t="s">
        <v>4460</v>
      </c>
      <c r="B157" s="3237" t="s">
        <v>3395</v>
      </c>
      <c r="C157" s="3237" t="s">
        <v>4461</v>
      </c>
      <c r="D157" s="3237" t="s">
        <v>4462</v>
      </c>
      <c r="E157" s="3237" t="s">
        <v>4463</v>
      </c>
      <c r="F157" s="3237" t="s">
        <v>4444</v>
      </c>
      <c r="G157" s="3237" t="s">
        <v>3221</v>
      </c>
      <c r="H157" s="3236" t="s">
        <v>4464</v>
      </c>
      <c r="I157" s="3236">
        <v>30.45</v>
      </c>
    </row>
    <row r="158" spans="1:9" ht="11.25" hidden="1" customHeight="1" x14ac:dyDescent="0.2">
      <c r="A158" s="3237" t="s">
        <v>4460</v>
      </c>
      <c r="B158" s="3237" t="s">
        <v>3396</v>
      </c>
      <c r="C158" s="3237" t="s">
        <v>4461</v>
      </c>
      <c r="D158" s="3237" t="s">
        <v>4462</v>
      </c>
      <c r="E158" s="3237" t="s">
        <v>4463</v>
      </c>
      <c r="F158" s="3237" t="s">
        <v>4444</v>
      </c>
      <c r="G158" s="3237" t="s">
        <v>3221</v>
      </c>
      <c r="H158" s="3236" t="s">
        <v>4464</v>
      </c>
      <c r="I158" s="3236">
        <v>30.45</v>
      </c>
    </row>
    <row r="159" spans="1:9" ht="11.25" hidden="1" customHeight="1" x14ac:dyDescent="0.2">
      <c r="A159" s="3237" t="s">
        <v>4460</v>
      </c>
      <c r="B159" s="3237" t="s">
        <v>3397</v>
      </c>
      <c r="C159" s="3237" t="s">
        <v>4461</v>
      </c>
      <c r="D159" s="3237" t="s">
        <v>4462</v>
      </c>
      <c r="E159" s="3237" t="s">
        <v>4463</v>
      </c>
      <c r="F159" s="3237" t="s">
        <v>4444</v>
      </c>
      <c r="G159" s="3237" t="s">
        <v>3221</v>
      </c>
      <c r="H159" s="3236" t="s">
        <v>4464</v>
      </c>
      <c r="I159" s="3236">
        <v>30.45</v>
      </c>
    </row>
    <row r="160" spans="1:9" ht="11.25" hidden="1" customHeight="1" x14ac:dyDescent="0.2">
      <c r="A160" s="3237" t="s">
        <v>4460</v>
      </c>
      <c r="B160" s="3237" t="s">
        <v>3398</v>
      </c>
      <c r="C160" s="3237" t="s">
        <v>4461</v>
      </c>
      <c r="D160" s="3237" t="s">
        <v>4462</v>
      </c>
      <c r="E160" s="3237" t="s">
        <v>4463</v>
      </c>
      <c r="F160" s="3237" t="s">
        <v>4444</v>
      </c>
      <c r="G160" s="3237" t="s">
        <v>3221</v>
      </c>
      <c r="H160" s="3236" t="s">
        <v>4464</v>
      </c>
      <c r="I160" s="3236">
        <v>30.45</v>
      </c>
    </row>
    <row r="161" spans="1:9" ht="11.25" hidden="1" customHeight="1" x14ac:dyDescent="0.2">
      <c r="A161" s="3237" t="s">
        <v>4460</v>
      </c>
      <c r="B161" s="3237" t="s">
        <v>3399</v>
      </c>
      <c r="C161" s="3237" t="s">
        <v>4461</v>
      </c>
      <c r="D161" s="3237" t="s">
        <v>4462</v>
      </c>
      <c r="E161" s="3237" t="s">
        <v>4463</v>
      </c>
      <c r="F161" s="3237" t="s">
        <v>4444</v>
      </c>
      <c r="G161" s="3237" t="s">
        <v>3221</v>
      </c>
      <c r="H161" s="3236" t="s">
        <v>4464</v>
      </c>
      <c r="I161" s="3236">
        <v>30.45</v>
      </c>
    </row>
    <row r="162" spans="1:9" ht="11.25" hidden="1" customHeight="1" x14ac:dyDescent="0.2">
      <c r="A162" s="3237" t="s">
        <v>4460</v>
      </c>
      <c r="B162" s="3237" t="s">
        <v>3400</v>
      </c>
      <c r="C162" s="3237" t="s">
        <v>4461</v>
      </c>
      <c r="D162" s="3237" t="s">
        <v>4462</v>
      </c>
      <c r="E162" s="3237" t="s">
        <v>4463</v>
      </c>
      <c r="F162" s="3237" t="s">
        <v>4444</v>
      </c>
      <c r="G162" s="3237" t="s">
        <v>3221</v>
      </c>
      <c r="H162" s="3236" t="s">
        <v>4464</v>
      </c>
      <c r="I162" s="3236">
        <v>30.45</v>
      </c>
    </row>
    <row r="163" spans="1:9" ht="11.25" hidden="1" customHeight="1" x14ac:dyDescent="0.2">
      <c r="A163" s="3237" t="s">
        <v>4460</v>
      </c>
      <c r="B163" s="3237" t="s">
        <v>3401</v>
      </c>
      <c r="C163" s="3237" t="s">
        <v>4461</v>
      </c>
      <c r="D163" s="3237" t="s">
        <v>4462</v>
      </c>
      <c r="E163" s="3237" t="s">
        <v>4463</v>
      </c>
      <c r="F163" s="3237" t="s">
        <v>4444</v>
      </c>
      <c r="G163" s="3237" t="s">
        <v>3221</v>
      </c>
      <c r="H163" s="3236" t="s">
        <v>4464</v>
      </c>
      <c r="I163" s="3236">
        <v>30.45</v>
      </c>
    </row>
    <row r="164" spans="1:9" ht="11.25" hidden="1" customHeight="1" x14ac:dyDescent="0.2">
      <c r="A164" s="3237" t="s">
        <v>4460</v>
      </c>
      <c r="B164" s="3237" t="s">
        <v>3402</v>
      </c>
      <c r="C164" s="3237" t="s">
        <v>4461</v>
      </c>
      <c r="D164" s="3237" t="s">
        <v>4462</v>
      </c>
      <c r="E164" s="3237" t="s">
        <v>4463</v>
      </c>
      <c r="F164" s="3237" t="s">
        <v>4444</v>
      </c>
      <c r="G164" s="3237" t="s">
        <v>3221</v>
      </c>
      <c r="H164" s="3236" t="s">
        <v>4464</v>
      </c>
      <c r="I164" s="3236">
        <v>30.45</v>
      </c>
    </row>
    <row r="165" spans="1:9" ht="11.25" hidden="1" customHeight="1" x14ac:dyDescent="0.2">
      <c r="A165" s="3237" t="s">
        <v>4460</v>
      </c>
      <c r="B165" s="3237" t="s">
        <v>3403</v>
      </c>
      <c r="C165" s="3237" t="s">
        <v>4461</v>
      </c>
      <c r="D165" s="3237" t="s">
        <v>4462</v>
      </c>
      <c r="E165" s="3237" t="s">
        <v>4463</v>
      </c>
      <c r="F165" s="3237" t="s">
        <v>4444</v>
      </c>
      <c r="G165" s="3237" t="s">
        <v>3221</v>
      </c>
      <c r="H165" s="3236" t="s">
        <v>4464</v>
      </c>
      <c r="I165" s="3236">
        <v>30.45</v>
      </c>
    </row>
    <row r="166" spans="1:9" ht="11.25" hidden="1" customHeight="1" x14ac:dyDescent="0.2">
      <c r="A166" s="3237" t="s">
        <v>4460</v>
      </c>
      <c r="B166" s="3237" t="s">
        <v>3404</v>
      </c>
      <c r="C166" s="3237" t="s">
        <v>4461</v>
      </c>
      <c r="D166" s="3237" t="s">
        <v>4462</v>
      </c>
      <c r="E166" s="3237" t="s">
        <v>4463</v>
      </c>
      <c r="F166" s="3237" t="s">
        <v>4444</v>
      </c>
      <c r="G166" s="3237" t="s">
        <v>3221</v>
      </c>
      <c r="H166" s="3236" t="s">
        <v>4464</v>
      </c>
      <c r="I166" s="3236">
        <v>30.45</v>
      </c>
    </row>
    <row r="167" spans="1:9" ht="11.25" hidden="1" customHeight="1" x14ac:dyDescent="0.2">
      <c r="A167" s="3237" t="s">
        <v>4460</v>
      </c>
      <c r="B167" s="3237" t="s">
        <v>3405</v>
      </c>
      <c r="C167" s="3237" t="s">
        <v>4461</v>
      </c>
      <c r="D167" s="3237" t="s">
        <v>4462</v>
      </c>
      <c r="E167" s="3237" t="s">
        <v>4463</v>
      </c>
      <c r="F167" s="3237" t="s">
        <v>4444</v>
      </c>
      <c r="G167" s="3237" t="s">
        <v>3221</v>
      </c>
      <c r="H167" s="3236" t="s">
        <v>4464</v>
      </c>
      <c r="I167" s="3236">
        <v>30.45</v>
      </c>
    </row>
    <row r="168" spans="1:9" ht="11.25" hidden="1" customHeight="1" x14ac:dyDescent="0.2">
      <c r="A168" s="3237" t="s">
        <v>4460</v>
      </c>
      <c r="B168" s="3237" t="s">
        <v>3406</v>
      </c>
      <c r="C168" s="3237" t="s">
        <v>4461</v>
      </c>
      <c r="D168" s="3237" t="s">
        <v>4462</v>
      </c>
      <c r="E168" s="3237" t="s">
        <v>4463</v>
      </c>
      <c r="F168" s="3237" t="s">
        <v>4444</v>
      </c>
      <c r="G168" s="3237" t="s">
        <v>3221</v>
      </c>
      <c r="H168" s="3236" t="s">
        <v>4464</v>
      </c>
      <c r="I168" s="3236">
        <v>30.45</v>
      </c>
    </row>
    <row r="169" spans="1:9" ht="11.25" hidden="1" customHeight="1" x14ac:dyDescent="0.2">
      <c r="A169" s="3237" t="s">
        <v>4460</v>
      </c>
      <c r="B169" s="3237" t="s">
        <v>3407</v>
      </c>
      <c r="C169" s="3237" t="s">
        <v>4461</v>
      </c>
      <c r="D169" s="3237" t="s">
        <v>4462</v>
      </c>
      <c r="E169" s="3237" t="s">
        <v>4463</v>
      </c>
      <c r="F169" s="3237" t="s">
        <v>4444</v>
      </c>
      <c r="G169" s="3237" t="s">
        <v>3221</v>
      </c>
      <c r="H169" s="3236" t="s">
        <v>4464</v>
      </c>
      <c r="I169" s="3236">
        <v>30.45</v>
      </c>
    </row>
    <row r="170" spans="1:9" ht="11.25" hidden="1" customHeight="1" x14ac:dyDescent="0.2">
      <c r="A170" s="3237" t="s">
        <v>4460</v>
      </c>
      <c r="B170" s="3237" t="s">
        <v>3408</v>
      </c>
      <c r="C170" s="3237" t="s">
        <v>4461</v>
      </c>
      <c r="D170" s="3237" t="s">
        <v>4462</v>
      </c>
      <c r="E170" s="3237" t="s">
        <v>4463</v>
      </c>
      <c r="F170" s="3237" t="s">
        <v>4444</v>
      </c>
      <c r="G170" s="3237" t="s">
        <v>3221</v>
      </c>
      <c r="H170" s="3236" t="s">
        <v>4464</v>
      </c>
      <c r="I170" s="3236">
        <v>30.45</v>
      </c>
    </row>
    <row r="171" spans="1:9" ht="11.25" hidden="1" customHeight="1" x14ac:dyDescent="0.2">
      <c r="A171" s="3237" t="s">
        <v>4460</v>
      </c>
      <c r="B171" s="3237" t="s">
        <v>3409</v>
      </c>
      <c r="C171" s="3237" t="s">
        <v>4461</v>
      </c>
      <c r="D171" s="3237" t="s">
        <v>4462</v>
      </c>
      <c r="E171" s="3237" t="s">
        <v>4463</v>
      </c>
      <c r="F171" s="3237" t="s">
        <v>4444</v>
      </c>
      <c r="G171" s="3237" t="s">
        <v>3221</v>
      </c>
      <c r="H171" s="3236" t="s">
        <v>4464</v>
      </c>
      <c r="I171" s="3236">
        <v>30.45</v>
      </c>
    </row>
    <row r="172" spans="1:9" ht="11.25" hidden="1" customHeight="1" x14ac:dyDescent="0.2">
      <c r="A172" s="3237" t="s">
        <v>4460</v>
      </c>
      <c r="B172" s="3237" t="s">
        <v>3410</v>
      </c>
      <c r="C172" s="3237" t="s">
        <v>4461</v>
      </c>
      <c r="D172" s="3237" t="s">
        <v>4462</v>
      </c>
      <c r="E172" s="3237" t="s">
        <v>4463</v>
      </c>
      <c r="F172" s="3237" t="s">
        <v>4444</v>
      </c>
      <c r="G172" s="3237" t="s">
        <v>3221</v>
      </c>
      <c r="H172" s="3236" t="s">
        <v>4464</v>
      </c>
      <c r="I172" s="3236">
        <v>27.41</v>
      </c>
    </row>
    <row r="173" spans="1:9" ht="11.25" hidden="1" customHeight="1" x14ac:dyDescent="0.2">
      <c r="A173" s="3237" t="s">
        <v>4460</v>
      </c>
      <c r="B173" s="3237" t="s">
        <v>3411</v>
      </c>
      <c r="C173" s="3237" t="s">
        <v>4461</v>
      </c>
      <c r="D173" s="3237" t="s">
        <v>4462</v>
      </c>
      <c r="E173" s="3237" t="s">
        <v>4463</v>
      </c>
      <c r="F173" s="3237" t="s">
        <v>4444</v>
      </c>
      <c r="G173" s="3237" t="s">
        <v>3221</v>
      </c>
      <c r="H173" s="3236" t="s">
        <v>4464</v>
      </c>
      <c r="I173" s="3236">
        <v>30.45</v>
      </c>
    </row>
    <row r="174" spans="1:9" ht="11.25" hidden="1" customHeight="1" x14ac:dyDescent="0.2">
      <c r="A174" s="3237" t="s">
        <v>4460</v>
      </c>
      <c r="B174" s="3237" t="s">
        <v>3412</v>
      </c>
      <c r="C174" s="3237" t="s">
        <v>4461</v>
      </c>
      <c r="D174" s="3237" t="s">
        <v>4462</v>
      </c>
      <c r="E174" s="3237" t="s">
        <v>4463</v>
      </c>
      <c r="F174" s="3237" t="s">
        <v>4444</v>
      </c>
      <c r="G174" s="3237" t="s">
        <v>3221</v>
      </c>
      <c r="H174" s="3236" t="s">
        <v>4464</v>
      </c>
      <c r="I174" s="3236">
        <v>30.45</v>
      </c>
    </row>
    <row r="175" spans="1:9" ht="11.25" hidden="1" customHeight="1" x14ac:dyDescent="0.2">
      <c r="A175" s="3237" t="s">
        <v>4460</v>
      </c>
      <c r="B175" s="3237" t="s">
        <v>3413</v>
      </c>
      <c r="C175" s="3237" t="s">
        <v>4461</v>
      </c>
      <c r="D175" s="3237" t="s">
        <v>4462</v>
      </c>
      <c r="E175" s="3237" t="s">
        <v>4463</v>
      </c>
      <c r="F175" s="3237" t="s">
        <v>4444</v>
      </c>
      <c r="G175" s="3237" t="s">
        <v>3221</v>
      </c>
      <c r="H175" s="3236" t="s">
        <v>4464</v>
      </c>
      <c r="I175" s="3236">
        <v>30.45</v>
      </c>
    </row>
    <row r="176" spans="1:9" ht="11.25" hidden="1" customHeight="1" x14ac:dyDescent="0.2">
      <c r="A176" s="3237" t="s">
        <v>4460</v>
      </c>
      <c r="B176" s="3237" t="s">
        <v>3414</v>
      </c>
      <c r="C176" s="3237" t="s">
        <v>4461</v>
      </c>
      <c r="D176" s="3237" t="s">
        <v>4462</v>
      </c>
      <c r="E176" s="3237" t="s">
        <v>4463</v>
      </c>
      <c r="F176" s="3237" t="s">
        <v>4444</v>
      </c>
      <c r="G176" s="3237" t="s">
        <v>3221</v>
      </c>
      <c r="H176" s="3236" t="s">
        <v>4464</v>
      </c>
      <c r="I176" s="3236">
        <v>30.45</v>
      </c>
    </row>
    <row r="177" spans="1:9" ht="11.25" hidden="1" customHeight="1" x14ac:dyDescent="0.2">
      <c r="A177" s="3237" t="s">
        <v>4460</v>
      </c>
      <c r="B177" s="3237" t="s">
        <v>3415</v>
      </c>
      <c r="C177" s="3237" t="s">
        <v>4461</v>
      </c>
      <c r="D177" s="3237" t="s">
        <v>4462</v>
      </c>
      <c r="E177" s="3237" t="s">
        <v>4463</v>
      </c>
      <c r="F177" s="3237" t="s">
        <v>4444</v>
      </c>
      <c r="G177" s="3237" t="s">
        <v>3221</v>
      </c>
      <c r="H177" s="3236" t="s">
        <v>4464</v>
      </c>
      <c r="I177" s="3236">
        <v>30.45</v>
      </c>
    </row>
    <row r="178" spans="1:9" ht="11.25" hidden="1" customHeight="1" x14ac:dyDescent="0.2">
      <c r="A178" s="3237" t="s">
        <v>4460</v>
      </c>
      <c r="B178" s="3237" t="s">
        <v>3416</v>
      </c>
      <c r="C178" s="3237" t="s">
        <v>4461</v>
      </c>
      <c r="D178" s="3237" t="s">
        <v>4462</v>
      </c>
      <c r="E178" s="3237" t="s">
        <v>4463</v>
      </c>
      <c r="F178" s="3237" t="s">
        <v>4444</v>
      </c>
      <c r="G178" s="3237" t="s">
        <v>3221</v>
      </c>
      <c r="H178" s="3236" t="s">
        <v>4464</v>
      </c>
      <c r="I178" s="3236">
        <v>30.45</v>
      </c>
    </row>
    <row r="179" spans="1:9" ht="11.25" hidden="1" customHeight="1" x14ac:dyDescent="0.2">
      <c r="A179" s="3237" t="s">
        <v>4460</v>
      </c>
      <c r="B179" s="3237" t="s">
        <v>3417</v>
      </c>
      <c r="C179" s="3237" t="s">
        <v>4461</v>
      </c>
      <c r="D179" s="3237" t="s">
        <v>4462</v>
      </c>
      <c r="E179" s="3237" t="s">
        <v>4463</v>
      </c>
      <c r="F179" s="3237" t="s">
        <v>4444</v>
      </c>
      <c r="G179" s="3237" t="s">
        <v>3221</v>
      </c>
      <c r="H179" s="3236" t="s">
        <v>4464</v>
      </c>
      <c r="I179" s="3236">
        <v>30.45</v>
      </c>
    </row>
    <row r="180" spans="1:9" ht="11.25" hidden="1" customHeight="1" x14ac:dyDescent="0.2">
      <c r="A180" s="3237" t="s">
        <v>4460</v>
      </c>
      <c r="B180" s="3237" t="s">
        <v>3418</v>
      </c>
      <c r="C180" s="3237" t="s">
        <v>4461</v>
      </c>
      <c r="D180" s="3237" t="s">
        <v>4462</v>
      </c>
      <c r="E180" s="3237" t="s">
        <v>4463</v>
      </c>
      <c r="F180" s="3237" t="s">
        <v>4444</v>
      </c>
      <c r="G180" s="3237" t="s">
        <v>3221</v>
      </c>
      <c r="H180" s="3236" t="s">
        <v>4464</v>
      </c>
      <c r="I180" s="3236">
        <v>30.45</v>
      </c>
    </row>
    <row r="181" spans="1:9" ht="11.25" hidden="1" customHeight="1" x14ac:dyDescent="0.2">
      <c r="A181" s="3237" t="s">
        <v>4460</v>
      </c>
      <c r="B181" s="3237" t="s">
        <v>3419</v>
      </c>
      <c r="C181" s="3237" t="s">
        <v>4461</v>
      </c>
      <c r="D181" s="3237" t="s">
        <v>4462</v>
      </c>
      <c r="E181" s="3237" t="s">
        <v>4463</v>
      </c>
      <c r="F181" s="3237" t="s">
        <v>4444</v>
      </c>
      <c r="G181" s="3237" t="s">
        <v>3221</v>
      </c>
      <c r="H181" s="3236" t="s">
        <v>4464</v>
      </c>
      <c r="I181" s="3236">
        <v>30.45</v>
      </c>
    </row>
    <row r="182" spans="1:9" ht="11.25" hidden="1" customHeight="1" x14ac:dyDescent="0.2">
      <c r="A182" s="3237" t="s">
        <v>4460</v>
      </c>
      <c r="B182" s="3237" t="s">
        <v>3420</v>
      </c>
      <c r="C182" s="3237" t="s">
        <v>4461</v>
      </c>
      <c r="D182" s="3237" t="s">
        <v>4462</v>
      </c>
      <c r="E182" s="3237" t="s">
        <v>4463</v>
      </c>
      <c r="F182" s="3237" t="s">
        <v>4444</v>
      </c>
      <c r="G182" s="3237" t="s">
        <v>3221</v>
      </c>
      <c r="H182" s="3236" t="s">
        <v>4464</v>
      </c>
      <c r="I182" s="3236">
        <v>30.45</v>
      </c>
    </row>
    <row r="183" spans="1:9" ht="11.25" hidden="1" customHeight="1" x14ac:dyDescent="0.2">
      <c r="A183" s="3237" t="s">
        <v>4460</v>
      </c>
      <c r="B183" s="3237" t="s">
        <v>3421</v>
      </c>
      <c r="C183" s="3237" t="s">
        <v>4461</v>
      </c>
      <c r="D183" s="3237" t="s">
        <v>4462</v>
      </c>
      <c r="E183" s="3237" t="s">
        <v>4463</v>
      </c>
      <c r="F183" s="3237" t="s">
        <v>4444</v>
      </c>
      <c r="G183" s="3237" t="s">
        <v>3221</v>
      </c>
      <c r="H183" s="3236" t="s">
        <v>4464</v>
      </c>
      <c r="I183" s="3236">
        <v>30.45</v>
      </c>
    </row>
    <row r="184" spans="1:9" ht="11.25" hidden="1" customHeight="1" x14ac:dyDescent="0.2">
      <c r="A184" s="3237" t="s">
        <v>4460</v>
      </c>
      <c r="B184" s="3237" t="s">
        <v>3422</v>
      </c>
      <c r="C184" s="3237" t="s">
        <v>4461</v>
      </c>
      <c r="D184" s="3237" t="s">
        <v>4462</v>
      </c>
      <c r="E184" s="3237" t="s">
        <v>4463</v>
      </c>
      <c r="F184" s="3237" t="s">
        <v>4444</v>
      </c>
      <c r="G184" s="3237" t="s">
        <v>3221</v>
      </c>
      <c r="H184" s="3236" t="s">
        <v>4464</v>
      </c>
      <c r="I184" s="3236">
        <v>30.45</v>
      </c>
    </row>
    <row r="185" spans="1:9" ht="11.25" hidden="1" customHeight="1" x14ac:dyDescent="0.2">
      <c r="A185" s="3237" t="s">
        <v>4460</v>
      </c>
      <c r="B185" s="3237" t="s">
        <v>3423</v>
      </c>
      <c r="C185" s="3237" t="s">
        <v>4461</v>
      </c>
      <c r="D185" s="3237" t="s">
        <v>4462</v>
      </c>
      <c r="E185" s="3237" t="s">
        <v>4463</v>
      </c>
      <c r="F185" s="3237" t="s">
        <v>4444</v>
      </c>
      <c r="G185" s="3237" t="s">
        <v>3221</v>
      </c>
      <c r="H185" s="3236" t="s">
        <v>4464</v>
      </c>
      <c r="I185" s="3236">
        <v>30.45</v>
      </c>
    </row>
    <row r="186" spans="1:9" ht="11.25" hidden="1" customHeight="1" x14ac:dyDescent="0.2">
      <c r="A186" s="3237" t="s">
        <v>4460</v>
      </c>
      <c r="B186" s="3237" t="s">
        <v>3424</v>
      </c>
      <c r="C186" s="3237" t="s">
        <v>4461</v>
      </c>
      <c r="D186" s="3237" t="s">
        <v>4462</v>
      </c>
      <c r="E186" s="3237" t="s">
        <v>4463</v>
      </c>
      <c r="F186" s="3237" t="s">
        <v>4444</v>
      </c>
      <c r="G186" s="3237" t="s">
        <v>3221</v>
      </c>
      <c r="H186" s="3236" t="s">
        <v>4464</v>
      </c>
      <c r="I186" s="3236">
        <v>30.45</v>
      </c>
    </row>
    <row r="187" spans="1:9" ht="11.25" hidden="1" customHeight="1" x14ac:dyDescent="0.2">
      <c r="A187" s="3237" t="s">
        <v>4460</v>
      </c>
      <c r="B187" s="3237" t="s">
        <v>3425</v>
      </c>
      <c r="C187" s="3237" t="s">
        <v>4461</v>
      </c>
      <c r="D187" s="3237" t="s">
        <v>4462</v>
      </c>
      <c r="E187" s="3237" t="s">
        <v>4463</v>
      </c>
      <c r="F187" s="3237" t="s">
        <v>4444</v>
      </c>
      <c r="G187" s="3237" t="s">
        <v>3221</v>
      </c>
      <c r="H187" s="3236" t="s">
        <v>4464</v>
      </c>
      <c r="I187" s="3236">
        <v>30.45</v>
      </c>
    </row>
    <row r="188" spans="1:9" ht="11.25" hidden="1" customHeight="1" x14ac:dyDescent="0.2">
      <c r="A188" s="3237" t="s">
        <v>4460</v>
      </c>
      <c r="B188" s="3237" t="s">
        <v>3426</v>
      </c>
      <c r="C188" s="3237" t="s">
        <v>4461</v>
      </c>
      <c r="D188" s="3237" t="s">
        <v>4462</v>
      </c>
      <c r="E188" s="3237" t="s">
        <v>4463</v>
      </c>
      <c r="F188" s="3237" t="s">
        <v>4444</v>
      </c>
      <c r="G188" s="3237" t="s">
        <v>3221</v>
      </c>
      <c r="H188" s="3236" t="s">
        <v>4464</v>
      </c>
      <c r="I188" s="3236">
        <v>30.45</v>
      </c>
    </row>
    <row r="189" spans="1:9" ht="11.25" hidden="1" customHeight="1" x14ac:dyDescent="0.2">
      <c r="A189" s="3237" t="s">
        <v>4460</v>
      </c>
      <c r="B189" s="3237" t="s">
        <v>3427</v>
      </c>
      <c r="C189" s="3237" t="s">
        <v>4461</v>
      </c>
      <c r="D189" s="3237" t="s">
        <v>4462</v>
      </c>
      <c r="E189" s="3237" t="s">
        <v>4463</v>
      </c>
      <c r="F189" s="3237" t="s">
        <v>4444</v>
      </c>
      <c r="G189" s="3237" t="s">
        <v>3221</v>
      </c>
      <c r="H189" s="3236" t="s">
        <v>4464</v>
      </c>
      <c r="I189" s="3236">
        <v>30.45</v>
      </c>
    </row>
    <row r="190" spans="1:9" ht="11.25" hidden="1" customHeight="1" x14ac:dyDescent="0.2">
      <c r="A190" s="3237" t="s">
        <v>4460</v>
      </c>
      <c r="B190" s="3237" t="s">
        <v>3428</v>
      </c>
      <c r="C190" s="3237" t="s">
        <v>4461</v>
      </c>
      <c r="D190" s="3237" t="s">
        <v>4462</v>
      </c>
      <c r="E190" s="3237" t="s">
        <v>4463</v>
      </c>
      <c r="F190" s="3237" t="s">
        <v>4444</v>
      </c>
      <c r="G190" s="3237" t="s">
        <v>3221</v>
      </c>
      <c r="H190" s="3236" t="s">
        <v>4464</v>
      </c>
      <c r="I190" s="3236">
        <v>30.45</v>
      </c>
    </row>
    <row r="191" spans="1:9" ht="11.25" hidden="1" customHeight="1" x14ac:dyDescent="0.2">
      <c r="A191" s="3237" t="s">
        <v>4460</v>
      </c>
      <c r="B191" s="3237" t="s">
        <v>3429</v>
      </c>
      <c r="C191" s="3237" t="s">
        <v>4461</v>
      </c>
      <c r="D191" s="3237" t="s">
        <v>4462</v>
      </c>
      <c r="E191" s="3237" t="s">
        <v>4463</v>
      </c>
      <c r="F191" s="3237" t="s">
        <v>4444</v>
      </c>
      <c r="G191" s="3237" t="s">
        <v>3221</v>
      </c>
      <c r="H191" s="3236" t="s">
        <v>4464</v>
      </c>
      <c r="I191" s="3236">
        <v>30.45</v>
      </c>
    </row>
    <row r="192" spans="1:9" ht="11.25" hidden="1" customHeight="1" x14ac:dyDescent="0.2">
      <c r="A192" s="3237" t="s">
        <v>4460</v>
      </c>
      <c r="B192" s="3237" t="s">
        <v>3430</v>
      </c>
      <c r="C192" s="3237" t="s">
        <v>4461</v>
      </c>
      <c r="D192" s="3237" t="s">
        <v>4462</v>
      </c>
      <c r="E192" s="3237" t="s">
        <v>4463</v>
      </c>
      <c r="F192" s="3237" t="s">
        <v>4444</v>
      </c>
      <c r="G192" s="3237" t="s">
        <v>3221</v>
      </c>
      <c r="H192" s="3236" t="s">
        <v>4464</v>
      </c>
      <c r="I192" s="3236">
        <v>30.45</v>
      </c>
    </row>
    <row r="193" spans="1:9" ht="11.25" hidden="1" customHeight="1" x14ac:dyDescent="0.2">
      <c r="A193" s="3237" t="s">
        <v>4460</v>
      </c>
      <c r="B193" s="3237" t="s">
        <v>3431</v>
      </c>
      <c r="C193" s="3237" t="s">
        <v>4461</v>
      </c>
      <c r="D193" s="3237" t="s">
        <v>4462</v>
      </c>
      <c r="E193" s="3237" t="s">
        <v>4463</v>
      </c>
      <c r="F193" s="3237" t="s">
        <v>4444</v>
      </c>
      <c r="G193" s="3237" t="s">
        <v>3221</v>
      </c>
      <c r="H193" s="3236" t="s">
        <v>4464</v>
      </c>
      <c r="I193" s="3236">
        <v>30.45</v>
      </c>
    </row>
    <row r="194" spans="1:9" ht="11.25" hidden="1" customHeight="1" x14ac:dyDescent="0.2">
      <c r="A194" s="3237" t="s">
        <v>4460</v>
      </c>
      <c r="B194" s="3237" t="s">
        <v>3432</v>
      </c>
      <c r="C194" s="3237" t="s">
        <v>4461</v>
      </c>
      <c r="D194" s="3237" t="s">
        <v>4462</v>
      </c>
      <c r="E194" s="3237" t="s">
        <v>4463</v>
      </c>
      <c r="F194" s="3237" t="s">
        <v>4444</v>
      </c>
      <c r="G194" s="3237" t="s">
        <v>3221</v>
      </c>
      <c r="H194" s="3236" t="s">
        <v>4464</v>
      </c>
      <c r="I194" s="3236">
        <v>30.45</v>
      </c>
    </row>
    <row r="195" spans="1:9" ht="11.25" hidden="1" customHeight="1" x14ac:dyDescent="0.2">
      <c r="A195" s="3237" t="s">
        <v>4460</v>
      </c>
      <c r="B195" s="3237" t="s">
        <v>3433</v>
      </c>
      <c r="C195" s="3237" t="s">
        <v>4461</v>
      </c>
      <c r="D195" s="3237" t="s">
        <v>4462</v>
      </c>
      <c r="E195" s="3237" t="s">
        <v>4463</v>
      </c>
      <c r="F195" s="3237" t="s">
        <v>4444</v>
      </c>
      <c r="G195" s="3237" t="s">
        <v>3221</v>
      </c>
      <c r="H195" s="3236" t="s">
        <v>4464</v>
      </c>
      <c r="I195" s="3236">
        <v>30.45</v>
      </c>
    </row>
    <row r="196" spans="1:9" ht="11.25" hidden="1" customHeight="1" x14ac:dyDescent="0.2">
      <c r="A196" s="3237" t="s">
        <v>4460</v>
      </c>
      <c r="B196" s="3237" t="s">
        <v>3434</v>
      </c>
      <c r="C196" s="3237" t="s">
        <v>4461</v>
      </c>
      <c r="D196" s="3237" t="s">
        <v>4462</v>
      </c>
      <c r="E196" s="3237" t="s">
        <v>4463</v>
      </c>
      <c r="F196" s="3237" t="s">
        <v>4444</v>
      </c>
      <c r="G196" s="3237" t="s">
        <v>3221</v>
      </c>
      <c r="H196" s="3236" t="s">
        <v>4464</v>
      </c>
      <c r="I196" s="3236">
        <v>30.45</v>
      </c>
    </row>
    <row r="197" spans="1:9" ht="11.25" hidden="1" customHeight="1" x14ac:dyDescent="0.2">
      <c r="A197" s="3237" t="s">
        <v>4460</v>
      </c>
      <c r="B197" s="3237" t="s">
        <v>3435</v>
      </c>
      <c r="C197" s="3237" t="s">
        <v>4461</v>
      </c>
      <c r="D197" s="3237" t="s">
        <v>4462</v>
      </c>
      <c r="E197" s="3237" t="s">
        <v>4463</v>
      </c>
      <c r="F197" s="3237" t="s">
        <v>4444</v>
      </c>
      <c r="G197" s="3237" t="s">
        <v>3221</v>
      </c>
      <c r="H197" s="3236" t="s">
        <v>4464</v>
      </c>
      <c r="I197" s="3236">
        <v>30.45</v>
      </c>
    </row>
    <row r="198" spans="1:9" ht="11.25" hidden="1" customHeight="1" x14ac:dyDescent="0.2">
      <c r="A198" s="3237" t="s">
        <v>4460</v>
      </c>
      <c r="B198" s="3237" t="s">
        <v>3436</v>
      </c>
      <c r="C198" s="3237" t="s">
        <v>4461</v>
      </c>
      <c r="D198" s="3237" t="s">
        <v>4462</v>
      </c>
      <c r="E198" s="3237" t="s">
        <v>4463</v>
      </c>
      <c r="F198" s="3237" t="s">
        <v>4444</v>
      </c>
      <c r="G198" s="3237" t="s">
        <v>3221</v>
      </c>
      <c r="H198" s="3236" t="s">
        <v>4464</v>
      </c>
      <c r="I198" s="3236">
        <v>30.45</v>
      </c>
    </row>
    <row r="199" spans="1:9" ht="11.25" hidden="1" customHeight="1" x14ac:dyDescent="0.2">
      <c r="A199" s="3237" t="s">
        <v>4460</v>
      </c>
      <c r="B199" s="3237" t="s">
        <v>3437</v>
      </c>
      <c r="C199" s="3237" t="s">
        <v>4461</v>
      </c>
      <c r="D199" s="3237" t="s">
        <v>4462</v>
      </c>
      <c r="E199" s="3237" t="s">
        <v>4463</v>
      </c>
      <c r="F199" s="3237" t="s">
        <v>4444</v>
      </c>
      <c r="G199" s="3237" t="s">
        <v>3221</v>
      </c>
      <c r="H199" s="3236" t="s">
        <v>4464</v>
      </c>
      <c r="I199" s="3236">
        <v>30.45</v>
      </c>
    </row>
    <row r="200" spans="1:9" ht="11.25" hidden="1" customHeight="1" x14ac:dyDescent="0.2">
      <c r="A200" s="3237" t="s">
        <v>4460</v>
      </c>
      <c r="B200" s="3237" t="s">
        <v>3438</v>
      </c>
      <c r="C200" s="3237" t="s">
        <v>4461</v>
      </c>
      <c r="D200" s="3237" t="s">
        <v>4462</v>
      </c>
      <c r="E200" s="3237" t="s">
        <v>4463</v>
      </c>
      <c r="F200" s="3237" t="s">
        <v>4444</v>
      </c>
      <c r="G200" s="3237" t="s">
        <v>3221</v>
      </c>
      <c r="H200" s="3236" t="s">
        <v>4464</v>
      </c>
      <c r="I200" s="3236">
        <v>30.45</v>
      </c>
    </row>
    <row r="201" spans="1:9" ht="11.25" hidden="1" customHeight="1" x14ac:dyDescent="0.2">
      <c r="A201" s="3237" t="s">
        <v>4460</v>
      </c>
      <c r="B201" s="3237" t="s">
        <v>3439</v>
      </c>
      <c r="C201" s="3237" t="s">
        <v>4461</v>
      </c>
      <c r="D201" s="3237" t="s">
        <v>4462</v>
      </c>
      <c r="E201" s="3237" t="s">
        <v>4463</v>
      </c>
      <c r="F201" s="3237" t="s">
        <v>4444</v>
      </c>
      <c r="G201" s="3237" t="s">
        <v>3221</v>
      </c>
      <c r="H201" s="3236" t="s">
        <v>4464</v>
      </c>
      <c r="I201" s="3236">
        <v>30.45</v>
      </c>
    </row>
    <row r="202" spans="1:9" ht="11.25" hidden="1" customHeight="1" x14ac:dyDescent="0.2">
      <c r="A202" s="3237" t="s">
        <v>4460</v>
      </c>
      <c r="B202" s="3237" t="s">
        <v>3440</v>
      </c>
      <c r="C202" s="3237" t="s">
        <v>4461</v>
      </c>
      <c r="D202" s="3237" t="s">
        <v>4462</v>
      </c>
      <c r="E202" s="3237" t="s">
        <v>4463</v>
      </c>
      <c r="F202" s="3237" t="s">
        <v>4444</v>
      </c>
      <c r="G202" s="3237" t="s">
        <v>3221</v>
      </c>
      <c r="H202" s="3236" t="s">
        <v>4464</v>
      </c>
      <c r="I202" s="3236">
        <v>30.45</v>
      </c>
    </row>
    <row r="203" spans="1:9" ht="11.25" hidden="1" customHeight="1" x14ac:dyDescent="0.2">
      <c r="A203" s="3237" t="s">
        <v>4460</v>
      </c>
      <c r="B203" s="3237" t="s">
        <v>3441</v>
      </c>
      <c r="C203" s="3237" t="s">
        <v>4461</v>
      </c>
      <c r="D203" s="3237" t="s">
        <v>4462</v>
      </c>
      <c r="E203" s="3237" t="s">
        <v>4463</v>
      </c>
      <c r="F203" s="3237" t="s">
        <v>4444</v>
      </c>
      <c r="G203" s="3237" t="s">
        <v>3221</v>
      </c>
      <c r="H203" s="3236" t="s">
        <v>4464</v>
      </c>
      <c r="I203" s="3236">
        <v>30.45</v>
      </c>
    </row>
    <row r="204" spans="1:9" ht="11.25" hidden="1" customHeight="1" x14ac:dyDescent="0.2">
      <c r="A204" s="3237" t="s">
        <v>4460</v>
      </c>
      <c r="B204" s="3237" t="s">
        <v>3442</v>
      </c>
      <c r="C204" s="3237" t="s">
        <v>4461</v>
      </c>
      <c r="D204" s="3237" t="s">
        <v>4462</v>
      </c>
      <c r="E204" s="3237" t="s">
        <v>4463</v>
      </c>
      <c r="F204" s="3237" t="s">
        <v>4444</v>
      </c>
      <c r="G204" s="3237" t="s">
        <v>3221</v>
      </c>
      <c r="H204" s="3236" t="s">
        <v>4464</v>
      </c>
      <c r="I204" s="3236">
        <v>30.45</v>
      </c>
    </row>
    <row r="205" spans="1:9" ht="11.25" hidden="1" customHeight="1" x14ac:dyDescent="0.2">
      <c r="A205" s="3237" t="s">
        <v>4460</v>
      </c>
      <c r="B205" s="3237" t="s">
        <v>3443</v>
      </c>
      <c r="C205" s="3237" t="s">
        <v>4461</v>
      </c>
      <c r="D205" s="3237" t="s">
        <v>4462</v>
      </c>
      <c r="E205" s="3237" t="s">
        <v>4463</v>
      </c>
      <c r="F205" s="3237" t="s">
        <v>4444</v>
      </c>
      <c r="G205" s="3237" t="s">
        <v>3221</v>
      </c>
      <c r="H205" s="3236" t="s">
        <v>4464</v>
      </c>
      <c r="I205" s="3236">
        <v>30.45</v>
      </c>
    </row>
    <row r="206" spans="1:9" ht="11.25" hidden="1" customHeight="1" x14ac:dyDescent="0.2">
      <c r="A206" s="3237" t="s">
        <v>4460</v>
      </c>
      <c r="B206" s="3237" t="s">
        <v>3444</v>
      </c>
      <c r="C206" s="3237" t="s">
        <v>4461</v>
      </c>
      <c r="D206" s="3237" t="s">
        <v>4462</v>
      </c>
      <c r="E206" s="3237" t="s">
        <v>4463</v>
      </c>
      <c r="F206" s="3237" t="s">
        <v>4444</v>
      </c>
      <c r="G206" s="3237" t="s">
        <v>3221</v>
      </c>
      <c r="H206" s="3236" t="s">
        <v>4464</v>
      </c>
      <c r="I206" s="3236">
        <v>30.45</v>
      </c>
    </row>
    <row r="207" spans="1:9" ht="11.25" hidden="1" customHeight="1" x14ac:dyDescent="0.2">
      <c r="A207" s="3237" t="s">
        <v>4460</v>
      </c>
      <c r="B207" s="3237" t="s">
        <v>3445</v>
      </c>
      <c r="C207" s="3237" t="s">
        <v>4461</v>
      </c>
      <c r="D207" s="3237" t="s">
        <v>4462</v>
      </c>
      <c r="E207" s="3237" t="s">
        <v>4463</v>
      </c>
      <c r="F207" s="3237" t="s">
        <v>4444</v>
      </c>
      <c r="G207" s="3237" t="s">
        <v>3221</v>
      </c>
      <c r="H207" s="3236" t="s">
        <v>4464</v>
      </c>
      <c r="I207" s="3236">
        <v>30.45</v>
      </c>
    </row>
    <row r="208" spans="1:9" ht="11.25" hidden="1" customHeight="1" x14ac:dyDescent="0.2">
      <c r="A208" s="3237" t="s">
        <v>4460</v>
      </c>
      <c r="B208" s="3237" t="s">
        <v>3446</v>
      </c>
      <c r="C208" s="3237" t="s">
        <v>4461</v>
      </c>
      <c r="D208" s="3237" t="s">
        <v>4462</v>
      </c>
      <c r="E208" s="3237" t="s">
        <v>4463</v>
      </c>
      <c r="F208" s="3237" t="s">
        <v>4444</v>
      </c>
      <c r="G208" s="3237" t="s">
        <v>3221</v>
      </c>
      <c r="H208" s="3236" t="s">
        <v>4464</v>
      </c>
      <c r="I208" s="3236">
        <v>30.45</v>
      </c>
    </row>
    <row r="209" spans="1:9" ht="11.25" hidden="1" customHeight="1" x14ac:dyDescent="0.2">
      <c r="A209" s="3237" t="s">
        <v>4460</v>
      </c>
      <c r="B209" s="3237" t="s">
        <v>3447</v>
      </c>
      <c r="C209" s="3237" t="s">
        <v>4461</v>
      </c>
      <c r="D209" s="3237" t="s">
        <v>4462</v>
      </c>
      <c r="E209" s="3237" t="s">
        <v>4463</v>
      </c>
      <c r="F209" s="3237" t="s">
        <v>4444</v>
      </c>
      <c r="G209" s="3237" t="s">
        <v>3221</v>
      </c>
      <c r="H209" s="3236" t="s">
        <v>4464</v>
      </c>
      <c r="I209" s="3236">
        <v>30.45</v>
      </c>
    </row>
    <row r="210" spans="1:9" ht="11.25" hidden="1" customHeight="1" x14ac:dyDescent="0.2">
      <c r="A210" s="3237" t="s">
        <v>4460</v>
      </c>
      <c r="B210" s="3237" t="s">
        <v>3448</v>
      </c>
      <c r="C210" s="3237" t="s">
        <v>4461</v>
      </c>
      <c r="D210" s="3237" t="s">
        <v>4462</v>
      </c>
      <c r="E210" s="3237" t="s">
        <v>4463</v>
      </c>
      <c r="F210" s="3237" t="s">
        <v>4444</v>
      </c>
      <c r="G210" s="3237" t="s">
        <v>3221</v>
      </c>
      <c r="H210" s="3236" t="s">
        <v>4464</v>
      </c>
      <c r="I210" s="3236">
        <v>30.45</v>
      </c>
    </row>
    <row r="211" spans="1:9" ht="11.25" hidden="1" customHeight="1" x14ac:dyDescent="0.2">
      <c r="A211" s="3237" t="s">
        <v>4460</v>
      </c>
      <c r="B211" s="3237" t="s">
        <v>3449</v>
      </c>
      <c r="C211" s="3237" t="s">
        <v>4461</v>
      </c>
      <c r="D211" s="3237" t="s">
        <v>4462</v>
      </c>
      <c r="E211" s="3237" t="s">
        <v>4463</v>
      </c>
      <c r="F211" s="3237" t="s">
        <v>4444</v>
      </c>
      <c r="G211" s="3237" t="s">
        <v>3221</v>
      </c>
      <c r="H211" s="3236" t="s">
        <v>4464</v>
      </c>
      <c r="I211" s="3236">
        <v>30.45</v>
      </c>
    </row>
    <row r="212" spans="1:9" ht="11.25" hidden="1" customHeight="1" x14ac:dyDescent="0.2">
      <c r="A212" s="3237" t="s">
        <v>4460</v>
      </c>
      <c r="B212" s="3237" t="s">
        <v>3450</v>
      </c>
      <c r="C212" s="3237" t="s">
        <v>4461</v>
      </c>
      <c r="D212" s="3237" t="s">
        <v>4462</v>
      </c>
      <c r="E212" s="3237" t="s">
        <v>4463</v>
      </c>
      <c r="F212" s="3237" t="s">
        <v>4444</v>
      </c>
      <c r="G212" s="3237" t="s">
        <v>3221</v>
      </c>
      <c r="H212" s="3236" t="s">
        <v>4464</v>
      </c>
      <c r="I212" s="3236">
        <v>30.45</v>
      </c>
    </row>
    <row r="213" spans="1:9" ht="11.25" hidden="1" customHeight="1" x14ac:dyDescent="0.2">
      <c r="A213" s="3237" t="s">
        <v>4460</v>
      </c>
      <c r="B213" s="3237" t="s">
        <v>3451</v>
      </c>
      <c r="C213" s="3237" t="s">
        <v>4461</v>
      </c>
      <c r="D213" s="3237" t="s">
        <v>4462</v>
      </c>
      <c r="E213" s="3237" t="s">
        <v>4463</v>
      </c>
      <c r="F213" s="3237" t="s">
        <v>4444</v>
      </c>
      <c r="G213" s="3237" t="s">
        <v>3221</v>
      </c>
      <c r="H213" s="3236" t="s">
        <v>4464</v>
      </c>
      <c r="I213" s="3236">
        <v>30.45</v>
      </c>
    </row>
    <row r="214" spans="1:9" ht="11.25" hidden="1" customHeight="1" x14ac:dyDescent="0.2">
      <c r="A214" s="3237" t="s">
        <v>4460</v>
      </c>
      <c r="B214" s="3237" t="s">
        <v>3452</v>
      </c>
      <c r="C214" s="3237" t="s">
        <v>4461</v>
      </c>
      <c r="D214" s="3237" t="s">
        <v>4462</v>
      </c>
      <c r="E214" s="3237" t="s">
        <v>4463</v>
      </c>
      <c r="F214" s="3237" t="s">
        <v>4444</v>
      </c>
      <c r="G214" s="3237" t="s">
        <v>3221</v>
      </c>
      <c r="H214" s="3236" t="s">
        <v>4464</v>
      </c>
      <c r="I214" s="3236">
        <v>30.45</v>
      </c>
    </row>
    <row r="215" spans="1:9" ht="11.25" hidden="1" customHeight="1" x14ac:dyDescent="0.2">
      <c r="A215" s="3237" t="s">
        <v>4460</v>
      </c>
      <c r="B215" s="3237" t="s">
        <v>3453</v>
      </c>
      <c r="C215" s="3237" t="s">
        <v>4461</v>
      </c>
      <c r="D215" s="3237" t="s">
        <v>4462</v>
      </c>
      <c r="E215" s="3237" t="s">
        <v>4463</v>
      </c>
      <c r="F215" s="3237" t="s">
        <v>4444</v>
      </c>
      <c r="G215" s="3237" t="s">
        <v>3221</v>
      </c>
      <c r="H215" s="3236" t="s">
        <v>4464</v>
      </c>
      <c r="I215" s="3236">
        <v>30.45</v>
      </c>
    </row>
    <row r="216" spans="1:9" ht="11.25" hidden="1" customHeight="1" x14ac:dyDescent="0.2">
      <c r="A216" s="3237" t="s">
        <v>4460</v>
      </c>
      <c r="B216" s="3237" t="s">
        <v>3454</v>
      </c>
      <c r="C216" s="3237" t="s">
        <v>4461</v>
      </c>
      <c r="D216" s="3237" t="s">
        <v>4462</v>
      </c>
      <c r="E216" s="3237" t="s">
        <v>4463</v>
      </c>
      <c r="F216" s="3237" t="s">
        <v>4444</v>
      </c>
      <c r="G216" s="3237" t="s">
        <v>3221</v>
      </c>
      <c r="H216" s="3236" t="s">
        <v>4464</v>
      </c>
      <c r="I216" s="3236">
        <v>30.45</v>
      </c>
    </row>
    <row r="217" spans="1:9" ht="11.25" hidden="1" customHeight="1" x14ac:dyDescent="0.2">
      <c r="A217" s="3237" t="s">
        <v>4460</v>
      </c>
      <c r="B217" s="3237" t="s">
        <v>3455</v>
      </c>
      <c r="C217" s="3237" t="s">
        <v>4461</v>
      </c>
      <c r="D217" s="3237" t="s">
        <v>4462</v>
      </c>
      <c r="E217" s="3237" t="s">
        <v>4463</v>
      </c>
      <c r="F217" s="3237" t="s">
        <v>4444</v>
      </c>
      <c r="G217" s="3237" t="s">
        <v>3221</v>
      </c>
      <c r="H217" s="3236" t="s">
        <v>4464</v>
      </c>
      <c r="I217" s="3236">
        <v>30.45</v>
      </c>
    </row>
    <row r="218" spans="1:9" ht="11.25" hidden="1" customHeight="1" x14ac:dyDescent="0.2">
      <c r="A218" s="3237" t="s">
        <v>4460</v>
      </c>
      <c r="B218" s="3237" t="s">
        <v>3456</v>
      </c>
      <c r="C218" s="3237" t="s">
        <v>4461</v>
      </c>
      <c r="D218" s="3237" t="s">
        <v>4462</v>
      </c>
      <c r="E218" s="3237" t="s">
        <v>4463</v>
      </c>
      <c r="F218" s="3237" t="s">
        <v>4444</v>
      </c>
      <c r="G218" s="3237" t="s">
        <v>3221</v>
      </c>
      <c r="H218" s="3236" t="s">
        <v>4464</v>
      </c>
      <c r="I218" s="3236">
        <v>30.45</v>
      </c>
    </row>
    <row r="219" spans="1:9" ht="11.25" hidden="1" customHeight="1" x14ac:dyDescent="0.2">
      <c r="A219" s="3237" t="s">
        <v>4460</v>
      </c>
      <c r="B219" s="3237" t="s">
        <v>3457</v>
      </c>
      <c r="C219" s="3237" t="s">
        <v>4461</v>
      </c>
      <c r="D219" s="3237" t="s">
        <v>4462</v>
      </c>
      <c r="E219" s="3237" t="s">
        <v>4463</v>
      </c>
      <c r="F219" s="3237" t="s">
        <v>4444</v>
      </c>
      <c r="G219" s="3237" t="s">
        <v>3221</v>
      </c>
      <c r="H219" s="3236" t="s">
        <v>4464</v>
      </c>
      <c r="I219" s="3236">
        <v>30.45</v>
      </c>
    </row>
    <row r="220" spans="1:9" ht="11.25" hidden="1" customHeight="1" x14ac:dyDescent="0.2">
      <c r="A220" s="3237" t="s">
        <v>4460</v>
      </c>
      <c r="B220" s="3237" t="s">
        <v>3458</v>
      </c>
      <c r="C220" s="3237" t="s">
        <v>4461</v>
      </c>
      <c r="D220" s="3237" t="s">
        <v>4462</v>
      </c>
      <c r="E220" s="3237" t="s">
        <v>4463</v>
      </c>
      <c r="F220" s="3237" t="s">
        <v>4444</v>
      </c>
      <c r="G220" s="3237" t="s">
        <v>3221</v>
      </c>
      <c r="H220" s="3236" t="s">
        <v>4464</v>
      </c>
      <c r="I220" s="3236">
        <v>30.45</v>
      </c>
    </row>
    <row r="221" spans="1:9" ht="11.25" hidden="1" customHeight="1" x14ac:dyDescent="0.2">
      <c r="A221" s="3237" t="s">
        <v>4460</v>
      </c>
      <c r="B221" s="3237" t="s">
        <v>3459</v>
      </c>
      <c r="C221" s="3237" t="s">
        <v>4461</v>
      </c>
      <c r="D221" s="3237" t="s">
        <v>4462</v>
      </c>
      <c r="E221" s="3237" t="s">
        <v>4463</v>
      </c>
      <c r="F221" s="3237" t="s">
        <v>4444</v>
      </c>
      <c r="G221" s="3237" t="s">
        <v>3221</v>
      </c>
      <c r="H221" s="3236" t="s">
        <v>4464</v>
      </c>
      <c r="I221" s="3236">
        <v>30.45</v>
      </c>
    </row>
    <row r="222" spans="1:9" ht="11.25" hidden="1" customHeight="1" x14ac:dyDescent="0.2">
      <c r="A222" s="3237" t="s">
        <v>4460</v>
      </c>
      <c r="B222" s="3237" t="s">
        <v>3460</v>
      </c>
      <c r="C222" s="3237" t="s">
        <v>4461</v>
      </c>
      <c r="D222" s="3237" t="s">
        <v>4462</v>
      </c>
      <c r="E222" s="3237" t="s">
        <v>4463</v>
      </c>
      <c r="F222" s="3237" t="s">
        <v>4444</v>
      </c>
      <c r="G222" s="3237" t="s">
        <v>3221</v>
      </c>
      <c r="H222" s="3236" t="s">
        <v>4464</v>
      </c>
      <c r="I222" s="3236">
        <v>30.45</v>
      </c>
    </row>
    <row r="223" spans="1:9" ht="11.25" hidden="1" customHeight="1" x14ac:dyDescent="0.2">
      <c r="A223" s="3237" t="s">
        <v>4460</v>
      </c>
      <c r="B223" s="3237" t="s">
        <v>3461</v>
      </c>
      <c r="C223" s="3237" t="s">
        <v>4461</v>
      </c>
      <c r="D223" s="3237" t="s">
        <v>4462</v>
      </c>
      <c r="E223" s="3237" t="s">
        <v>4463</v>
      </c>
      <c r="F223" s="3237" t="s">
        <v>4444</v>
      </c>
      <c r="G223" s="3237" t="s">
        <v>3221</v>
      </c>
      <c r="H223" s="3236" t="s">
        <v>4464</v>
      </c>
      <c r="I223" s="3236">
        <v>30.45</v>
      </c>
    </row>
    <row r="224" spans="1:9" ht="11.25" hidden="1" customHeight="1" x14ac:dyDescent="0.2">
      <c r="A224" s="3237" t="s">
        <v>4460</v>
      </c>
      <c r="B224" s="3237" t="s">
        <v>3462</v>
      </c>
      <c r="C224" s="3237" t="s">
        <v>4461</v>
      </c>
      <c r="D224" s="3237" t="s">
        <v>4462</v>
      </c>
      <c r="E224" s="3237" t="s">
        <v>4463</v>
      </c>
      <c r="F224" s="3237" t="s">
        <v>4444</v>
      </c>
      <c r="G224" s="3237" t="s">
        <v>3221</v>
      </c>
      <c r="H224" s="3236" t="s">
        <v>4464</v>
      </c>
      <c r="I224" s="3236">
        <v>30.45</v>
      </c>
    </row>
    <row r="225" spans="1:9" ht="11.25" hidden="1" customHeight="1" x14ac:dyDescent="0.2">
      <c r="A225" s="3237" t="s">
        <v>4460</v>
      </c>
      <c r="B225" s="3237" t="s">
        <v>3463</v>
      </c>
      <c r="C225" s="3237" t="s">
        <v>4461</v>
      </c>
      <c r="D225" s="3237" t="s">
        <v>4462</v>
      </c>
      <c r="E225" s="3237" t="s">
        <v>4463</v>
      </c>
      <c r="F225" s="3237" t="s">
        <v>4444</v>
      </c>
      <c r="G225" s="3237" t="s">
        <v>3221</v>
      </c>
      <c r="H225" s="3236" t="s">
        <v>4464</v>
      </c>
      <c r="I225" s="3236">
        <v>30.45</v>
      </c>
    </row>
    <row r="226" spans="1:9" ht="11.25" hidden="1" customHeight="1" x14ac:dyDescent="0.2">
      <c r="A226" s="3237" t="s">
        <v>4460</v>
      </c>
      <c r="B226" s="3237" t="s">
        <v>3464</v>
      </c>
      <c r="C226" s="3237" t="s">
        <v>4461</v>
      </c>
      <c r="D226" s="3237" t="s">
        <v>4462</v>
      </c>
      <c r="E226" s="3237" t="s">
        <v>4463</v>
      </c>
      <c r="F226" s="3237" t="s">
        <v>4444</v>
      </c>
      <c r="G226" s="3237" t="s">
        <v>3221</v>
      </c>
      <c r="H226" s="3236" t="s">
        <v>4464</v>
      </c>
      <c r="I226" s="3236">
        <v>30.45</v>
      </c>
    </row>
    <row r="227" spans="1:9" ht="11.25" hidden="1" customHeight="1" x14ac:dyDescent="0.2">
      <c r="A227" s="3237" t="s">
        <v>4460</v>
      </c>
      <c r="B227" s="3237" t="s">
        <v>3465</v>
      </c>
      <c r="C227" s="3237" t="s">
        <v>4461</v>
      </c>
      <c r="D227" s="3237" t="s">
        <v>4462</v>
      </c>
      <c r="E227" s="3237" t="s">
        <v>4463</v>
      </c>
      <c r="F227" s="3237" t="s">
        <v>4444</v>
      </c>
      <c r="G227" s="3237" t="s">
        <v>3221</v>
      </c>
      <c r="H227" s="3236" t="s">
        <v>4464</v>
      </c>
      <c r="I227" s="3236">
        <v>30.45</v>
      </c>
    </row>
    <row r="228" spans="1:9" ht="11.25" hidden="1" customHeight="1" x14ac:dyDescent="0.2">
      <c r="A228" s="3237" t="s">
        <v>4460</v>
      </c>
      <c r="B228" s="3237" t="s">
        <v>3466</v>
      </c>
      <c r="C228" s="3237" t="s">
        <v>4461</v>
      </c>
      <c r="D228" s="3237" t="s">
        <v>4462</v>
      </c>
      <c r="E228" s="3237" t="s">
        <v>4463</v>
      </c>
      <c r="F228" s="3237" t="s">
        <v>4444</v>
      </c>
      <c r="G228" s="3237" t="s">
        <v>3221</v>
      </c>
      <c r="H228" s="3236" t="s">
        <v>4464</v>
      </c>
      <c r="I228" s="3236">
        <v>30.45</v>
      </c>
    </row>
    <row r="229" spans="1:9" ht="11.25" hidden="1" customHeight="1" x14ac:dyDescent="0.2">
      <c r="A229" s="3237" t="s">
        <v>4460</v>
      </c>
      <c r="B229" s="3237" t="s">
        <v>3467</v>
      </c>
      <c r="C229" s="3237" t="s">
        <v>4461</v>
      </c>
      <c r="D229" s="3237" t="s">
        <v>4462</v>
      </c>
      <c r="E229" s="3237" t="s">
        <v>4463</v>
      </c>
      <c r="F229" s="3237" t="s">
        <v>4444</v>
      </c>
      <c r="G229" s="3237" t="s">
        <v>3221</v>
      </c>
      <c r="H229" s="3236" t="s">
        <v>4464</v>
      </c>
      <c r="I229" s="3236">
        <v>30.45</v>
      </c>
    </row>
    <row r="230" spans="1:9" ht="11.25" hidden="1" customHeight="1" x14ac:dyDescent="0.2">
      <c r="A230" s="3237" t="s">
        <v>4460</v>
      </c>
      <c r="B230" s="3237" t="s">
        <v>3468</v>
      </c>
      <c r="C230" s="3237" t="s">
        <v>4461</v>
      </c>
      <c r="D230" s="3237" t="s">
        <v>4462</v>
      </c>
      <c r="E230" s="3237" t="s">
        <v>4463</v>
      </c>
      <c r="F230" s="3237" t="s">
        <v>4444</v>
      </c>
      <c r="G230" s="3237" t="s">
        <v>3221</v>
      </c>
      <c r="H230" s="3236" t="s">
        <v>4464</v>
      </c>
      <c r="I230" s="3236">
        <v>30.45</v>
      </c>
    </row>
    <row r="231" spans="1:9" ht="11.25" hidden="1" customHeight="1" x14ac:dyDescent="0.2">
      <c r="A231" s="3237" t="s">
        <v>4460</v>
      </c>
      <c r="B231" s="3237" t="s">
        <v>3469</v>
      </c>
      <c r="C231" s="3237" t="s">
        <v>4461</v>
      </c>
      <c r="D231" s="3237" t="s">
        <v>4462</v>
      </c>
      <c r="E231" s="3237" t="s">
        <v>4463</v>
      </c>
      <c r="F231" s="3237" t="s">
        <v>4444</v>
      </c>
      <c r="G231" s="3237" t="s">
        <v>3221</v>
      </c>
      <c r="H231" s="3236" t="s">
        <v>4464</v>
      </c>
      <c r="I231" s="3236">
        <v>42.51</v>
      </c>
    </row>
    <row r="232" spans="1:9" ht="11.25" hidden="1" customHeight="1" x14ac:dyDescent="0.2">
      <c r="A232" s="3237" t="s">
        <v>4460</v>
      </c>
      <c r="B232" s="3237" t="s">
        <v>3470</v>
      </c>
      <c r="C232" s="3237" t="s">
        <v>4461</v>
      </c>
      <c r="D232" s="3237" t="s">
        <v>4462</v>
      </c>
      <c r="E232" s="3237" t="s">
        <v>4463</v>
      </c>
      <c r="F232" s="3237" t="s">
        <v>4444</v>
      </c>
      <c r="G232" s="3237" t="s">
        <v>3221</v>
      </c>
      <c r="H232" s="3236" t="s">
        <v>4464</v>
      </c>
      <c r="I232" s="3236">
        <v>30.45</v>
      </c>
    </row>
    <row r="233" spans="1:9" ht="11.25" hidden="1" customHeight="1" x14ac:dyDescent="0.2">
      <c r="A233" s="3237" t="s">
        <v>4460</v>
      </c>
      <c r="B233" s="3237" t="s">
        <v>3471</v>
      </c>
      <c r="C233" s="3237" t="s">
        <v>4461</v>
      </c>
      <c r="D233" s="3237" t="s">
        <v>4462</v>
      </c>
      <c r="E233" s="3237" t="s">
        <v>4463</v>
      </c>
      <c r="F233" s="3237" t="s">
        <v>4444</v>
      </c>
      <c r="G233" s="3237" t="s">
        <v>3221</v>
      </c>
      <c r="H233" s="3236" t="s">
        <v>4464</v>
      </c>
      <c r="I233" s="3236">
        <v>30.45</v>
      </c>
    </row>
    <row r="234" spans="1:9" ht="11.25" hidden="1" customHeight="1" x14ac:dyDescent="0.2">
      <c r="A234" s="3237" t="s">
        <v>4460</v>
      </c>
      <c r="B234" s="3237" t="s">
        <v>3472</v>
      </c>
      <c r="C234" s="3237" t="s">
        <v>4461</v>
      </c>
      <c r="D234" s="3237" t="s">
        <v>4462</v>
      </c>
      <c r="E234" s="3237" t="s">
        <v>4463</v>
      </c>
      <c r="F234" s="3237" t="s">
        <v>4444</v>
      </c>
      <c r="G234" s="3237" t="s">
        <v>3221</v>
      </c>
      <c r="H234" s="3236" t="s">
        <v>4464</v>
      </c>
      <c r="I234" s="3236">
        <v>30.45</v>
      </c>
    </row>
    <row r="235" spans="1:9" ht="11.25" hidden="1" customHeight="1" x14ac:dyDescent="0.2">
      <c r="A235" s="3237" t="s">
        <v>4460</v>
      </c>
      <c r="B235" s="3237" t="s">
        <v>3473</v>
      </c>
      <c r="C235" s="3237" t="s">
        <v>4461</v>
      </c>
      <c r="D235" s="3237" t="s">
        <v>4462</v>
      </c>
      <c r="E235" s="3237" t="s">
        <v>4463</v>
      </c>
      <c r="F235" s="3237" t="s">
        <v>4444</v>
      </c>
      <c r="G235" s="3237" t="s">
        <v>3221</v>
      </c>
      <c r="H235" s="3236" t="s">
        <v>4464</v>
      </c>
      <c r="I235" s="3236">
        <v>30.45</v>
      </c>
    </row>
    <row r="236" spans="1:9" ht="11.25" hidden="1" customHeight="1" x14ac:dyDescent="0.2">
      <c r="A236" s="3237" t="s">
        <v>4460</v>
      </c>
      <c r="B236" s="3237" t="s">
        <v>3474</v>
      </c>
      <c r="C236" s="3237" t="s">
        <v>4461</v>
      </c>
      <c r="D236" s="3237" t="s">
        <v>4462</v>
      </c>
      <c r="E236" s="3237" t="s">
        <v>4463</v>
      </c>
      <c r="F236" s="3237" t="s">
        <v>4444</v>
      </c>
      <c r="G236" s="3237" t="s">
        <v>3221</v>
      </c>
      <c r="H236" s="3236" t="s">
        <v>4464</v>
      </c>
      <c r="I236" s="3236">
        <v>30.45</v>
      </c>
    </row>
    <row r="237" spans="1:9" ht="11.25" hidden="1" customHeight="1" x14ac:dyDescent="0.2">
      <c r="A237" s="3237" t="s">
        <v>4460</v>
      </c>
      <c r="B237" s="3237" t="s">
        <v>3475</v>
      </c>
      <c r="C237" s="3237" t="s">
        <v>4461</v>
      </c>
      <c r="D237" s="3237" t="s">
        <v>4462</v>
      </c>
      <c r="E237" s="3237" t="s">
        <v>4463</v>
      </c>
      <c r="F237" s="3237" t="s">
        <v>4444</v>
      </c>
      <c r="G237" s="3237" t="s">
        <v>3221</v>
      </c>
      <c r="H237" s="3236" t="s">
        <v>4464</v>
      </c>
      <c r="I237" s="3236">
        <v>30.45</v>
      </c>
    </row>
    <row r="238" spans="1:9" ht="11.25" hidden="1" customHeight="1" x14ac:dyDescent="0.2">
      <c r="A238" s="3237" t="s">
        <v>4460</v>
      </c>
      <c r="B238" s="3237" t="s">
        <v>3476</v>
      </c>
      <c r="C238" s="3237" t="s">
        <v>4461</v>
      </c>
      <c r="D238" s="3237" t="s">
        <v>4462</v>
      </c>
      <c r="E238" s="3237" t="s">
        <v>4463</v>
      </c>
      <c r="F238" s="3237" t="s">
        <v>4444</v>
      </c>
      <c r="G238" s="3237" t="s">
        <v>3221</v>
      </c>
      <c r="H238" s="3236" t="s">
        <v>4464</v>
      </c>
      <c r="I238" s="3236">
        <v>30.45</v>
      </c>
    </row>
    <row r="239" spans="1:9" ht="11.25" hidden="1" customHeight="1" x14ac:dyDescent="0.2">
      <c r="A239" s="3237" t="s">
        <v>4460</v>
      </c>
      <c r="B239" s="3237" t="s">
        <v>3477</v>
      </c>
      <c r="C239" s="3237" t="s">
        <v>4461</v>
      </c>
      <c r="D239" s="3237" t="s">
        <v>4462</v>
      </c>
      <c r="E239" s="3237" t="s">
        <v>4463</v>
      </c>
      <c r="F239" s="3237" t="s">
        <v>4444</v>
      </c>
      <c r="G239" s="3237" t="s">
        <v>3221</v>
      </c>
      <c r="H239" s="3236" t="s">
        <v>4464</v>
      </c>
      <c r="I239" s="3236">
        <v>30.45</v>
      </c>
    </row>
    <row r="240" spans="1:9" ht="11.25" hidden="1" customHeight="1" x14ac:dyDescent="0.2">
      <c r="A240" s="3237" t="s">
        <v>4460</v>
      </c>
      <c r="B240" s="3237" t="s">
        <v>3478</v>
      </c>
      <c r="C240" s="3237" t="s">
        <v>4461</v>
      </c>
      <c r="D240" s="3237" t="s">
        <v>4462</v>
      </c>
      <c r="E240" s="3237" t="s">
        <v>4463</v>
      </c>
      <c r="F240" s="3237" t="s">
        <v>4444</v>
      </c>
      <c r="G240" s="3237" t="s">
        <v>3221</v>
      </c>
      <c r="H240" s="3236" t="s">
        <v>4464</v>
      </c>
      <c r="I240" s="3236">
        <v>30.45</v>
      </c>
    </row>
    <row r="241" spans="1:9" ht="11.25" hidden="1" customHeight="1" x14ac:dyDescent="0.2">
      <c r="A241" s="3237" t="s">
        <v>4460</v>
      </c>
      <c r="B241" s="3237" t="s">
        <v>3479</v>
      </c>
      <c r="C241" s="3237" t="s">
        <v>4461</v>
      </c>
      <c r="D241" s="3237" t="s">
        <v>4462</v>
      </c>
      <c r="E241" s="3237" t="s">
        <v>4463</v>
      </c>
      <c r="F241" s="3237" t="s">
        <v>4444</v>
      </c>
      <c r="G241" s="3237" t="s">
        <v>3221</v>
      </c>
      <c r="H241" s="3236" t="s">
        <v>4464</v>
      </c>
      <c r="I241" s="3236">
        <v>30.45</v>
      </c>
    </row>
    <row r="242" spans="1:9" ht="11.25" hidden="1" customHeight="1" x14ac:dyDescent="0.2">
      <c r="A242" s="3237" t="s">
        <v>4460</v>
      </c>
      <c r="B242" s="3237" t="s">
        <v>3480</v>
      </c>
      <c r="C242" s="3237" t="s">
        <v>4461</v>
      </c>
      <c r="D242" s="3237" t="s">
        <v>4462</v>
      </c>
      <c r="E242" s="3237" t="s">
        <v>4463</v>
      </c>
      <c r="F242" s="3237" t="s">
        <v>4444</v>
      </c>
      <c r="G242" s="3237" t="s">
        <v>3221</v>
      </c>
      <c r="H242" s="3236" t="s">
        <v>4464</v>
      </c>
      <c r="I242" s="3236">
        <v>30.45</v>
      </c>
    </row>
    <row r="243" spans="1:9" ht="11.25" hidden="1" customHeight="1" x14ac:dyDescent="0.2">
      <c r="A243" s="3237" t="s">
        <v>4460</v>
      </c>
      <c r="B243" s="3237" t="s">
        <v>3481</v>
      </c>
      <c r="C243" s="3237" t="s">
        <v>4461</v>
      </c>
      <c r="D243" s="3237" t="s">
        <v>4462</v>
      </c>
      <c r="E243" s="3237" t="s">
        <v>4463</v>
      </c>
      <c r="F243" s="3237" t="s">
        <v>4444</v>
      </c>
      <c r="G243" s="3237" t="s">
        <v>3221</v>
      </c>
      <c r="H243" s="3236" t="s">
        <v>4464</v>
      </c>
      <c r="I243" s="3236">
        <v>30.45</v>
      </c>
    </row>
    <row r="244" spans="1:9" ht="11.25" hidden="1" customHeight="1" x14ac:dyDescent="0.2">
      <c r="A244" s="3237" t="s">
        <v>4460</v>
      </c>
      <c r="B244" s="3237" t="s">
        <v>3482</v>
      </c>
      <c r="C244" s="3237" t="s">
        <v>4461</v>
      </c>
      <c r="D244" s="3237" t="s">
        <v>4462</v>
      </c>
      <c r="E244" s="3237" t="s">
        <v>4463</v>
      </c>
      <c r="F244" s="3237" t="s">
        <v>4444</v>
      </c>
      <c r="G244" s="3237" t="s">
        <v>3221</v>
      </c>
      <c r="H244" s="3236" t="s">
        <v>4464</v>
      </c>
      <c r="I244" s="3236">
        <v>30.45</v>
      </c>
    </row>
    <row r="245" spans="1:9" ht="11.25" hidden="1" customHeight="1" x14ac:dyDescent="0.2">
      <c r="A245" s="3237" t="s">
        <v>4460</v>
      </c>
      <c r="B245" s="3237" t="s">
        <v>3483</v>
      </c>
      <c r="C245" s="3237" t="s">
        <v>4461</v>
      </c>
      <c r="D245" s="3237" t="s">
        <v>4462</v>
      </c>
      <c r="E245" s="3237" t="s">
        <v>4463</v>
      </c>
      <c r="F245" s="3237" t="s">
        <v>4444</v>
      </c>
      <c r="G245" s="3237" t="s">
        <v>3221</v>
      </c>
      <c r="H245" s="3236" t="s">
        <v>4464</v>
      </c>
      <c r="I245" s="3236">
        <v>30.45</v>
      </c>
    </row>
    <row r="246" spans="1:9" ht="11.25" hidden="1" customHeight="1" x14ac:dyDescent="0.2">
      <c r="A246" s="3237" t="s">
        <v>4460</v>
      </c>
      <c r="B246" s="3237" t="s">
        <v>3484</v>
      </c>
      <c r="C246" s="3237" t="s">
        <v>4461</v>
      </c>
      <c r="D246" s="3237" t="s">
        <v>4462</v>
      </c>
      <c r="E246" s="3237" t="s">
        <v>4463</v>
      </c>
      <c r="F246" s="3237" t="s">
        <v>4444</v>
      </c>
      <c r="G246" s="3237" t="s">
        <v>3221</v>
      </c>
      <c r="H246" s="3236" t="s">
        <v>4464</v>
      </c>
      <c r="I246" s="3236">
        <v>30.45</v>
      </c>
    </row>
    <row r="247" spans="1:9" ht="11.25" hidden="1" customHeight="1" x14ac:dyDescent="0.2">
      <c r="A247" s="3237" t="s">
        <v>4460</v>
      </c>
      <c r="B247" s="3237" t="s">
        <v>3485</v>
      </c>
      <c r="C247" s="3237" t="s">
        <v>4461</v>
      </c>
      <c r="D247" s="3237" t="s">
        <v>4462</v>
      </c>
      <c r="E247" s="3237" t="s">
        <v>4463</v>
      </c>
      <c r="F247" s="3237" t="s">
        <v>4444</v>
      </c>
      <c r="G247" s="3237" t="s">
        <v>3221</v>
      </c>
      <c r="H247" s="3236" t="s">
        <v>4464</v>
      </c>
      <c r="I247" s="3236">
        <v>30.45</v>
      </c>
    </row>
    <row r="248" spans="1:9" ht="11.25" hidden="1" customHeight="1" x14ac:dyDescent="0.2">
      <c r="A248" s="3237" t="s">
        <v>4460</v>
      </c>
      <c r="B248" s="3237" t="s">
        <v>3486</v>
      </c>
      <c r="C248" s="3237" t="s">
        <v>4461</v>
      </c>
      <c r="D248" s="3237" t="s">
        <v>4462</v>
      </c>
      <c r="E248" s="3237" t="s">
        <v>4463</v>
      </c>
      <c r="F248" s="3237" t="s">
        <v>4444</v>
      </c>
      <c r="G248" s="3237" t="s">
        <v>3221</v>
      </c>
      <c r="H248" s="3236" t="s">
        <v>4464</v>
      </c>
      <c r="I248" s="3236">
        <v>30.45</v>
      </c>
    </row>
    <row r="249" spans="1:9" ht="11.25" hidden="1" customHeight="1" x14ac:dyDescent="0.2">
      <c r="A249" s="3237" t="s">
        <v>4460</v>
      </c>
      <c r="B249" s="3237" t="s">
        <v>3487</v>
      </c>
      <c r="C249" s="3237" t="s">
        <v>4461</v>
      </c>
      <c r="D249" s="3237" t="s">
        <v>4462</v>
      </c>
      <c r="E249" s="3237" t="s">
        <v>4463</v>
      </c>
      <c r="F249" s="3237" t="s">
        <v>4444</v>
      </c>
      <c r="G249" s="3237" t="s">
        <v>3221</v>
      </c>
      <c r="H249" s="3236" t="s">
        <v>4464</v>
      </c>
      <c r="I249" s="3236">
        <v>30.45</v>
      </c>
    </row>
    <row r="250" spans="1:9" ht="11.25" hidden="1" customHeight="1" x14ac:dyDescent="0.2">
      <c r="A250" s="3237" t="s">
        <v>4460</v>
      </c>
      <c r="B250" s="3237" t="s">
        <v>3488</v>
      </c>
      <c r="C250" s="3237" t="s">
        <v>4461</v>
      </c>
      <c r="D250" s="3237" t="s">
        <v>4462</v>
      </c>
      <c r="E250" s="3237" t="s">
        <v>4463</v>
      </c>
      <c r="F250" s="3237" t="s">
        <v>4444</v>
      </c>
      <c r="G250" s="3237" t="s">
        <v>3221</v>
      </c>
      <c r="H250" s="3236" t="s">
        <v>4464</v>
      </c>
      <c r="I250" s="3236">
        <v>30.45</v>
      </c>
    </row>
    <row r="251" spans="1:9" ht="11.25" hidden="1" customHeight="1" x14ac:dyDescent="0.2">
      <c r="A251" s="3237" t="s">
        <v>4460</v>
      </c>
      <c r="B251" s="3237" t="s">
        <v>3489</v>
      </c>
      <c r="C251" s="3237" t="s">
        <v>4461</v>
      </c>
      <c r="D251" s="3237" t="s">
        <v>4462</v>
      </c>
      <c r="E251" s="3237" t="s">
        <v>4463</v>
      </c>
      <c r="F251" s="3237" t="s">
        <v>4444</v>
      </c>
      <c r="G251" s="3237" t="s">
        <v>3221</v>
      </c>
      <c r="H251" s="3236" t="s">
        <v>4464</v>
      </c>
      <c r="I251" s="3236">
        <v>30.45</v>
      </c>
    </row>
    <row r="252" spans="1:9" ht="11.25" hidden="1" customHeight="1" x14ac:dyDescent="0.2">
      <c r="A252" s="3237" t="s">
        <v>4460</v>
      </c>
      <c r="B252" s="3237" t="s">
        <v>3490</v>
      </c>
      <c r="C252" s="3237" t="s">
        <v>4461</v>
      </c>
      <c r="D252" s="3237" t="s">
        <v>4462</v>
      </c>
      <c r="E252" s="3237" t="s">
        <v>4463</v>
      </c>
      <c r="F252" s="3237" t="s">
        <v>4444</v>
      </c>
      <c r="G252" s="3237" t="s">
        <v>3221</v>
      </c>
      <c r="H252" s="3236" t="s">
        <v>4464</v>
      </c>
      <c r="I252" s="3236">
        <v>30.45</v>
      </c>
    </row>
    <row r="253" spans="1:9" ht="11.25" hidden="1" customHeight="1" x14ac:dyDescent="0.2">
      <c r="A253" s="3237" t="s">
        <v>4460</v>
      </c>
      <c r="B253" s="3237" t="s">
        <v>3491</v>
      </c>
      <c r="C253" s="3237" t="s">
        <v>4461</v>
      </c>
      <c r="D253" s="3237" t="s">
        <v>4462</v>
      </c>
      <c r="E253" s="3237" t="s">
        <v>4463</v>
      </c>
      <c r="F253" s="3237" t="s">
        <v>4444</v>
      </c>
      <c r="G253" s="3237" t="s">
        <v>3221</v>
      </c>
      <c r="H253" s="3236" t="s">
        <v>4464</v>
      </c>
      <c r="I253" s="3236">
        <v>30.45</v>
      </c>
    </row>
    <row r="254" spans="1:9" ht="11.25" hidden="1" customHeight="1" x14ac:dyDescent="0.2">
      <c r="A254" s="3237" t="s">
        <v>4460</v>
      </c>
      <c r="B254" s="3237" t="s">
        <v>3492</v>
      </c>
      <c r="C254" s="3237" t="s">
        <v>4461</v>
      </c>
      <c r="D254" s="3237" t="s">
        <v>4462</v>
      </c>
      <c r="E254" s="3237" t="s">
        <v>4463</v>
      </c>
      <c r="F254" s="3237" t="s">
        <v>4444</v>
      </c>
      <c r="G254" s="3237" t="s">
        <v>3221</v>
      </c>
      <c r="H254" s="3236" t="s">
        <v>4464</v>
      </c>
      <c r="I254" s="3236">
        <v>30.45</v>
      </c>
    </row>
    <row r="255" spans="1:9" ht="11.25" hidden="1" customHeight="1" x14ac:dyDescent="0.2">
      <c r="A255" s="3237" t="s">
        <v>4460</v>
      </c>
      <c r="B255" s="3237" t="s">
        <v>3493</v>
      </c>
      <c r="C255" s="3237" t="s">
        <v>4461</v>
      </c>
      <c r="D255" s="3237" t="s">
        <v>4462</v>
      </c>
      <c r="E255" s="3237" t="s">
        <v>4463</v>
      </c>
      <c r="F255" s="3237" t="s">
        <v>4444</v>
      </c>
      <c r="G255" s="3237" t="s">
        <v>3221</v>
      </c>
      <c r="H255" s="3236" t="s">
        <v>4464</v>
      </c>
      <c r="I255" s="3236">
        <v>30.45</v>
      </c>
    </row>
    <row r="256" spans="1:9" ht="11.25" hidden="1" customHeight="1" x14ac:dyDescent="0.2">
      <c r="A256" s="3237" t="s">
        <v>4460</v>
      </c>
      <c r="B256" s="3237" t="s">
        <v>3494</v>
      </c>
      <c r="C256" s="3237" t="s">
        <v>4461</v>
      </c>
      <c r="D256" s="3237" t="s">
        <v>4462</v>
      </c>
      <c r="E256" s="3237" t="s">
        <v>4463</v>
      </c>
      <c r="F256" s="3237" t="s">
        <v>4444</v>
      </c>
      <c r="G256" s="3237" t="s">
        <v>3221</v>
      </c>
      <c r="H256" s="3236" t="s">
        <v>4464</v>
      </c>
      <c r="I256" s="3236">
        <v>30.45</v>
      </c>
    </row>
    <row r="257" spans="1:9" ht="11.25" hidden="1" customHeight="1" x14ac:dyDescent="0.2">
      <c r="A257" s="3237" t="s">
        <v>4460</v>
      </c>
      <c r="B257" s="3237" t="s">
        <v>3495</v>
      </c>
      <c r="C257" s="3237" t="s">
        <v>4461</v>
      </c>
      <c r="D257" s="3237" t="s">
        <v>4462</v>
      </c>
      <c r="E257" s="3237" t="s">
        <v>4463</v>
      </c>
      <c r="F257" s="3237" t="s">
        <v>4444</v>
      </c>
      <c r="G257" s="3237" t="s">
        <v>3221</v>
      </c>
      <c r="H257" s="3236" t="s">
        <v>4464</v>
      </c>
      <c r="I257" s="3236">
        <v>30.45</v>
      </c>
    </row>
    <row r="258" spans="1:9" ht="11.25" hidden="1" customHeight="1" x14ac:dyDescent="0.2">
      <c r="A258" s="3237" t="s">
        <v>4460</v>
      </c>
      <c r="B258" s="3237" t="s">
        <v>3496</v>
      </c>
      <c r="C258" s="3237" t="s">
        <v>4461</v>
      </c>
      <c r="D258" s="3237" t="s">
        <v>4462</v>
      </c>
      <c r="E258" s="3237" t="s">
        <v>4463</v>
      </c>
      <c r="F258" s="3237" t="s">
        <v>4444</v>
      </c>
      <c r="G258" s="3237" t="s">
        <v>3221</v>
      </c>
      <c r="H258" s="3236" t="s">
        <v>4464</v>
      </c>
      <c r="I258" s="3236">
        <v>30.45</v>
      </c>
    </row>
    <row r="259" spans="1:9" ht="11.25" hidden="1" customHeight="1" x14ac:dyDescent="0.2">
      <c r="A259" s="3237" t="s">
        <v>4460</v>
      </c>
      <c r="B259" s="3237" t="s">
        <v>3497</v>
      </c>
      <c r="C259" s="3237" t="s">
        <v>4461</v>
      </c>
      <c r="D259" s="3237" t="s">
        <v>4462</v>
      </c>
      <c r="E259" s="3237" t="s">
        <v>4463</v>
      </c>
      <c r="F259" s="3237" t="s">
        <v>4444</v>
      </c>
      <c r="G259" s="3237" t="s">
        <v>3221</v>
      </c>
      <c r="H259" s="3236" t="s">
        <v>4464</v>
      </c>
      <c r="I259" s="3236">
        <v>30.45</v>
      </c>
    </row>
    <row r="260" spans="1:9" ht="11.25" hidden="1" customHeight="1" x14ac:dyDescent="0.2">
      <c r="A260" s="3237" t="s">
        <v>4460</v>
      </c>
      <c r="B260" s="3237" t="s">
        <v>3498</v>
      </c>
      <c r="C260" s="3237" t="s">
        <v>4461</v>
      </c>
      <c r="D260" s="3237" t="s">
        <v>4462</v>
      </c>
      <c r="E260" s="3237" t="s">
        <v>4463</v>
      </c>
      <c r="F260" s="3237" t="s">
        <v>4444</v>
      </c>
      <c r="G260" s="3237" t="s">
        <v>3221</v>
      </c>
      <c r="H260" s="3236" t="s">
        <v>4464</v>
      </c>
      <c r="I260" s="3236">
        <v>30.45</v>
      </c>
    </row>
    <row r="261" spans="1:9" ht="11.25" hidden="1" customHeight="1" x14ac:dyDescent="0.2">
      <c r="A261" s="3237" t="s">
        <v>4460</v>
      </c>
      <c r="B261" s="3237" t="s">
        <v>3499</v>
      </c>
      <c r="C261" s="3237" t="s">
        <v>4461</v>
      </c>
      <c r="D261" s="3237" t="s">
        <v>4462</v>
      </c>
      <c r="E261" s="3237" t="s">
        <v>4463</v>
      </c>
      <c r="F261" s="3237" t="s">
        <v>4444</v>
      </c>
      <c r="G261" s="3237" t="s">
        <v>3221</v>
      </c>
      <c r="H261" s="3236" t="s">
        <v>4464</v>
      </c>
      <c r="I261" s="3236">
        <v>30.45</v>
      </c>
    </row>
    <row r="262" spans="1:9" ht="11.25" hidden="1" customHeight="1" x14ac:dyDescent="0.2">
      <c r="A262" s="3237" t="s">
        <v>4460</v>
      </c>
      <c r="B262" s="3237" t="s">
        <v>3500</v>
      </c>
      <c r="C262" s="3237" t="s">
        <v>4461</v>
      </c>
      <c r="D262" s="3237" t="s">
        <v>4462</v>
      </c>
      <c r="E262" s="3237" t="s">
        <v>4463</v>
      </c>
      <c r="F262" s="3237" t="s">
        <v>4444</v>
      </c>
      <c r="G262" s="3237" t="s">
        <v>3221</v>
      </c>
      <c r="H262" s="3236" t="s">
        <v>4464</v>
      </c>
      <c r="I262" s="3236">
        <v>30.45</v>
      </c>
    </row>
    <row r="263" spans="1:9" ht="11.25" hidden="1" customHeight="1" x14ac:dyDescent="0.2">
      <c r="A263" s="3237" t="s">
        <v>4460</v>
      </c>
      <c r="B263" s="3237" t="s">
        <v>3501</v>
      </c>
      <c r="C263" s="3237" t="s">
        <v>4461</v>
      </c>
      <c r="D263" s="3237" t="s">
        <v>4462</v>
      </c>
      <c r="E263" s="3237" t="s">
        <v>4463</v>
      </c>
      <c r="F263" s="3237" t="s">
        <v>4444</v>
      </c>
      <c r="G263" s="3237" t="s">
        <v>3221</v>
      </c>
      <c r="H263" s="3236" t="s">
        <v>4464</v>
      </c>
      <c r="I263" s="3236">
        <v>30.45</v>
      </c>
    </row>
    <row r="264" spans="1:9" ht="11.25" hidden="1" customHeight="1" x14ac:dyDescent="0.2">
      <c r="A264" s="3237" t="s">
        <v>4460</v>
      </c>
      <c r="B264" s="3237" t="s">
        <v>3502</v>
      </c>
      <c r="C264" s="3237" t="s">
        <v>4461</v>
      </c>
      <c r="D264" s="3237" t="s">
        <v>4462</v>
      </c>
      <c r="E264" s="3237" t="s">
        <v>4463</v>
      </c>
      <c r="F264" s="3237" t="s">
        <v>4444</v>
      </c>
      <c r="G264" s="3237" t="s">
        <v>3221</v>
      </c>
      <c r="H264" s="3236" t="s">
        <v>4464</v>
      </c>
      <c r="I264" s="3236">
        <v>30.45</v>
      </c>
    </row>
    <row r="265" spans="1:9" ht="11.25" hidden="1" customHeight="1" x14ac:dyDescent="0.2">
      <c r="A265" s="3237" t="s">
        <v>4460</v>
      </c>
      <c r="B265" s="3237" t="s">
        <v>3503</v>
      </c>
      <c r="C265" s="3237" t="s">
        <v>4461</v>
      </c>
      <c r="D265" s="3237" t="s">
        <v>4462</v>
      </c>
      <c r="E265" s="3237" t="s">
        <v>4463</v>
      </c>
      <c r="F265" s="3237" t="s">
        <v>4444</v>
      </c>
      <c r="G265" s="3237" t="s">
        <v>3221</v>
      </c>
      <c r="H265" s="3236" t="s">
        <v>4464</v>
      </c>
      <c r="I265" s="3236">
        <v>30.45</v>
      </c>
    </row>
    <row r="266" spans="1:9" ht="11.25" hidden="1" customHeight="1" x14ac:dyDescent="0.2">
      <c r="A266" s="3237" t="s">
        <v>4460</v>
      </c>
      <c r="B266" s="3237" t="s">
        <v>3504</v>
      </c>
      <c r="C266" s="3237" t="s">
        <v>4461</v>
      </c>
      <c r="D266" s="3237" t="s">
        <v>4462</v>
      </c>
      <c r="E266" s="3237" t="s">
        <v>4463</v>
      </c>
      <c r="F266" s="3237" t="s">
        <v>4444</v>
      </c>
      <c r="G266" s="3237" t="s">
        <v>3221</v>
      </c>
      <c r="H266" s="3236" t="s">
        <v>4464</v>
      </c>
      <c r="I266" s="3236">
        <v>30.45</v>
      </c>
    </row>
    <row r="267" spans="1:9" ht="11.25" hidden="1" customHeight="1" x14ac:dyDescent="0.2">
      <c r="A267" s="3237" t="s">
        <v>4460</v>
      </c>
      <c r="B267" s="3237" t="s">
        <v>3505</v>
      </c>
      <c r="C267" s="3237" t="s">
        <v>4461</v>
      </c>
      <c r="D267" s="3237" t="s">
        <v>4462</v>
      </c>
      <c r="E267" s="3237" t="s">
        <v>4463</v>
      </c>
      <c r="F267" s="3237" t="s">
        <v>4444</v>
      </c>
      <c r="G267" s="3237" t="s">
        <v>3221</v>
      </c>
      <c r="H267" s="3236" t="s">
        <v>4464</v>
      </c>
      <c r="I267" s="3236">
        <v>30.45</v>
      </c>
    </row>
    <row r="268" spans="1:9" ht="11.25" hidden="1" customHeight="1" x14ac:dyDescent="0.2">
      <c r="A268" s="3237" t="s">
        <v>4460</v>
      </c>
      <c r="B268" s="3237" t="s">
        <v>3506</v>
      </c>
      <c r="C268" s="3237" t="s">
        <v>4461</v>
      </c>
      <c r="D268" s="3237" t="s">
        <v>4462</v>
      </c>
      <c r="E268" s="3237" t="s">
        <v>4463</v>
      </c>
      <c r="F268" s="3237" t="s">
        <v>4444</v>
      </c>
      <c r="G268" s="3237" t="s">
        <v>3221</v>
      </c>
      <c r="H268" s="3236" t="s">
        <v>4464</v>
      </c>
      <c r="I268" s="3236">
        <v>30.45</v>
      </c>
    </row>
    <row r="269" spans="1:9" ht="11.25" hidden="1" customHeight="1" x14ac:dyDescent="0.2">
      <c r="A269" s="3237" t="s">
        <v>4460</v>
      </c>
      <c r="B269" s="3237" t="s">
        <v>3507</v>
      </c>
      <c r="C269" s="3237" t="s">
        <v>4461</v>
      </c>
      <c r="D269" s="3237" t="s">
        <v>4462</v>
      </c>
      <c r="E269" s="3237" t="s">
        <v>4463</v>
      </c>
      <c r="F269" s="3237" t="s">
        <v>4444</v>
      </c>
      <c r="G269" s="3237" t="s">
        <v>3221</v>
      </c>
      <c r="H269" s="3236" t="s">
        <v>4464</v>
      </c>
      <c r="I269" s="3236">
        <v>30.45</v>
      </c>
    </row>
    <row r="270" spans="1:9" ht="11.25" hidden="1" customHeight="1" x14ac:dyDescent="0.2">
      <c r="A270" s="3237" t="s">
        <v>4460</v>
      </c>
      <c r="B270" s="3237" t="s">
        <v>3508</v>
      </c>
      <c r="C270" s="3237" t="s">
        <v>4461</v>
      </c>
      <c r="D270" s="3237" t="s">
        <v>4462</v>
      </c>
      <c r="E270" s="3237" t="s">
        <v>4463</v>
      </c>
      <c r="F270" s="3237" t="s">
        <v>4444</v>
      </c>
      <c r="G270" s="3237" t="s">
        <v>3221</v>
      </c>
      <c r="H270" s="3236" t="s">
        <v>4464</v>
      </c>
      <c r="I270" s="3236">
        <v>30.45</v>
      </c>
    </row>
    <row r="271" spans="1:9" ht="11.25" hidden="1" customHeight="1" x14ac:dyDescent="0.2">
      <c r="A271" s="3237" t="s">
        <v>4460</v>
      </c>
      <c r="B271" s="3237" t="s">
        <v>3509</v>
      </c>
      <c r="C271" s="3237" t="s">
        <v>4461</v>
      </c>
      <c r="D271" s="3237" t="s">
        <v>4462</v>
      </c>
      <c r="E271" s="3237" t="s">
        <v>4463</v>
      </c>
      <c r="F271" s="3237" t="s">
        <v>4444</v>
      </c>
      <c r="G271" s="3237" t="s">
        <v>3221</v>
      </c>
      <c r="H271" s="3236" t="s">
        <v>4464</v>
      </c>
      <c r="I271" s="3236">
        <v>30.45</v>
      </c>
    </row>
    <row r="272" spans="1:9" ht="11.25" hidden="1" customHeight="1" x14ac:dyDescent="0.2">
      <c r="A272" s="3237" t="s">
        <v>4460</v>
      </c>
      <c r="B272" s="3237" t="s">
        <v>3510</v>
      </c>
      <c r="C272" s="3237" t="s">
        <v>4461</v>
      </c>
      <c r="D272" s="3237" t="s">
        <v>4462</v>
      </c>
      <c r="E272" s="3237" t="s">
        <v>4463</v>
      </c>
      <c r="F272" s="3237" t="s">
        <v>4444</v>
      </c>
      <c r="G272" s="3237" t="s">
        <v>3221</v>
      </c>
      <c r="H272" s="3236" t="s">
        <v>4464</v>
      </c>
      <c r="I272" s="3236">
        <v>30.45</v>
      </c>
    </row>
    <row r="273" spans="1:9" ht="11.25" hidden="1" customHeight="1" x14ac:dyDescent="0.2">
      <c r="A273" s="3237" t="s">
        <v>4460</v>
      </c>
      <c r="B273" s="3237" t="s">
        <v>3511</v>
      </c>
      <c r="C273" s="3237" t="s">
        <v>4461</v>
      </c>
      <c r="D273" s="3237" t="s">
        <v>4462</v>
      </c>
      <c r="E273" s="3237" t="s">
        <v>4463</v>
      </c>
      <c r="F273" s="3237" t="s">
        <v>4444</v>
      </c>
      <c r="G273" s="3237" t="s">
        <v>3221</v>
      </c>
      <c r="H273" s="3236" t="s">
        <v>4464</v>
      </c>
      <c r="I273" s="3236">
        <v>30.45</v>
      </c>
    </row>
    <row r="274" spans="1:9" ht="11.25" hidden="1" customHeight="1" x14ac:dyDescent="0.2">
      <c r="A274" s="3237" t="s">
        <v>4460</v>
      </c>
      <c r="B274" s="3237" t="s">
        <v>3512</v>
      </c>
      <c r="C274" s="3237" t="s">
        <v>4461</v>
      </c>
      <c r="D274" s="3237" t="s">
        <v>4462</v>
      </c>
      <c r="E274" s="3237" t="s">
        <v>4463</v>
      </c>
      <c r="F274" s="3237" t="s">
        <v>4444</v>
      </c>
      <c r="G274" s="3237" t="s">
        <v>3221</v>
      </c>
      <c r="H274" s="3236" t="s">
        <v>4464</v>
      </c>
      <c r="I274" s="3236">
        <v>30.45</v>
      </c>
    </row>
    <row r="275" spans="1:9" ht="11.25" hidden="1" customHeight="1" x14ac:dyDescent="0.2">
      <c r="A275" s="3237" t="s">
        <v>4460</v>
      </c>
      <c r="B275" s="3237" t="s">
        <v>3513</v>
      </c>
      <c r="C275" s="3237" t="s">
        <v>4461</v>
      </c>
      <c r="D275" s="3237" t="s">
        <v>4462</v>
      </c>
      <c r="E275" s="3237" t="s">
        <v>4463</v>
      </c>
      <c r="F275" s="3237" t="s">
        <v>4444</v>
      </c>
      <c r="G275" s="3237" t="s">
        <v>3221</v>
      </c>
      <c r="H275" s="3236" t="s">
        <v>4464</v>
      </c>
      <c r="I275" s="3236">
        <v>30.45</v>
      </c>
    </row>
    <row r="276" spans="1:9" ht="11.25" hidden="1" customHeight="1" x14ac:dyDescent="0.2">
      <c r="A276" s="3237" t="s">
        <v>4460</v>
      </c>
      <c r="B276" s="3237" t="s">
        <v>3514</v>
      </c>
      <c r="C276" s="3237" t="s">
        <v>4461</v>
      </c>
      <c r="D276" s="3237" t="s">
        <v>4462</v>
      </c>
      <c r="E276" s="3237" t="s">
        <v>4463</v>
      </c>
      <c r="F276" s="3237" t="s">
        <v>4444</v>
      </c>
      <c r="G276" s="3237" t="s">
        <v>3221</v>
      </c>
      <c r="H276" s="3236" t="s">
        <v>4464</v>
      </c>
      <c r="I276" s="3236">
        <v>30.45</v>
      </c>
    </row>
    <row r="277" spans="1:9" ht="11.25" hidden="1" customHeight="1" x14ac:dyDescent="0.2">
      <c r="A277" s="3237" t="s">
        <v>4460</v>
      </c>
      <c r="B277" s="3237" t="s">
        <v>3515</v>
      </c>
      <c r="C277" s="3237" t="s">
        <v>4461</v>
      </c>
      <c r="D277" s="3237" t="s">
        <v>4462</v>
      </c>
      <c r="E277" s="3237" t="s">
        <v>4463</v>
      </c>
      <c r="F277" s="3237" t="s">
        <v>4444</v>
      </c>
      <c r="G277" s="3237" t="s">
        <v>3221</v>
      </c>
      <c r="H277" s="3236" t="s">
        <v>4464</v>
      </c>
      <c r="I277" s="3236">
        <v>30.45</v>
      </c>
    </row>
    <row r="278" spans="1:9" ht="11.25" hidden="1" customHeight="1" x14ac:dyDescent="0.2">
      <c r="A278" s="3237" t="s">
        <v>4460</v>
      </c>
      <c r="B278" s="3237" t="s">
        <v>3516</v>
      </c>
      <c r="C278" s="3237" t="s">
        <v>4461</v>
      </c>
      <c r="D278" s="3237" t="s">
        <v>4462</v>
      </c>
      <c r="E278" s="3237" t="s">
        <v>4463</v>
      </c>
      <c r="F278" s="3237" t="s">
        <v>4444</v>
      </c>
      <c r="G278" s="3237" t="s">
        <v>3221</v>
      </c>
      <c r="H278" s="3236" t="s">
        <v>4464</v>
      </c>
      <c r="I278" s="3236">
        <v>30.45</v>
      </c>
    </row>
    <row r="279" spans="1:9" ht="11.25" hidden="1" customHeight="1" x14ac:dyDescent="0.2">
      <c r="A279" s="3237" t="s">
        <v>4460</v>
      </c>
      <c r="B279" s="3237" t="s">
        <v>3517</v>
      </c>
      <c r="C279" s="3237" t="s">
        <v>4461</v>
      </c>
      <c r="D279" s="3237" t="s">
        <v>4462</v>
      </c>
      <c r="E279" s="3237" t="s">
        <v>4463</v>
      </c>
      <c r="F279" s="3237" t="s">
        <v>4444</v>
      </c>
      <c r="G279" s="3237" t="s">
        <v>3221</v>
      </c>
      <c r="H279" s="3236" t="s">
        <v>4464</v>
      </c>
      <c r="I279" s="3236">
        <v>30.45</v>
      </c>
    </row>
    <row r="280" spans="1:9" ht="11.25" hidden="1" customHeight="1" x14ac:dyDescent="0.2">
      <c r="A280" s="3237" t="s">
        <v>4460</v>
      </c>
      <c r="B280" s="3237" t="s">
        <v>3518</v>
      </c>
      <c r="C280" s="3237" t="s">
        <v>4461</v>
      </c>
      <c r="D280" s="3237" t="s">
        <v>4462</v>
      </c>
      <c r="E280" s="3237" t="s">
        <v>4463</v>
      </c>
      <c r="F280" s="3237" t="s">
        <v>4444</v>
      </c>
      <c r="G280" s="3237" t="s">
        <v>3221</v>
      </c>
      <c r="H280" s="3236" t="s">
        <v>4464</v>
      </c>
      <c r="I280" s="3236">
        <v>30.45</v>
      </c>
    </row>
    <row r="281" spans="1:9" ht="11.25" hidden="1" customHeight="1" x14ac:dyDescent="0.2">
      <c r="A281" s="3237" t="s">
        <v>4460</v>
      </c>
      <c r="B281" s="3237" t="s">
        <v>3519</v>
      </c>
      <c r="C281" s="3237" t="s">
        <v>4461</v>
      </c>
      <c r="D281" s="3237" t="s">
        <v>4462</v>
      </c>
      <c r="E281" s="3237" t="s">
        <v>4463</v>
      </c>
      <c r="F281" s="3237" t="s">
        <v>4444</v>
      </c>
      <c r="G281" s="3237" t="s">
        <v>3221</v>
      </c>
      <c r="H281" s="3236" t="s">
        <v>4464</v>
      </c>
      <c r="I281" s="3236">
        <v>30.45</v>
      </c>
    </row>
    <row r="282" spans="1:9" ht="11.25" hidden="1" customHeight="1" x14ac:dyDescent="0.2">
      <c r="A282" s="3237" t="s">
        <v>4460</v>
      </c>
      <c r="B282" s="3237" t="s">
        <v>3520</v>
      </c>
      <c r="C282" s="3237" t="s">
        <v>4461</v>
      </c>
      <c r="D282" s="3237" t="s">
        <v>4462</v>
      </c>
      <c r="E282" s="3237" t="s">
        <v>4463</v>
      </c>
      <c r="F282" s="3237" t="s">
        <v>4444</v>
      </c>
      <c r="G282" s="3237" t="s">
        <v>3221</v>
      </c>
      <c r="H282" s="3236" t="s">
        <v>4464</v>
      </c>
      <c r="I282" s="3236">
        <v>30.45</v>
      </c>
    </row>
    <row r="283" spans="1:9" ht="11.25" hidden="1" customHeight="1" x14ac:dyDescent="0.2">
      <c r="A283" s="3237" t="s">
        <v>4460</v>
      </c>
      <c r="B283" s="3237" t="s">
        <v>3521</v>
      </c>
      <c r="C283" s="3237" t="s">
        <v>4461</v>
      </c>
      <c r="D283" s="3237" t="s">
        <v>4462</v>
      </c>
      <c r="E283" s="3237" t="s">
        <v>4463</v>
      </c>
      <c r="F283" s="3237" t="s">
        <v>4444</v>
      </c>
      <c r="G283" s="3237" t="s">
        <v>3221</v>
      </c>
      <c r="H283" s="3236" t="s">
        <v>4464</v>
      </c>
      <c r="I283" s="3236">
        <v>30.45</v>
      </c>
    </row>
    <row r="284" spans="1:9" ht="11.25" hidden="1" customHeight="1" x14ac:dyDescent="0.2">
      <c r="A284" s="3237" t="s">
        <v>4460</v>
      </c>
      <c r="B284" s="3237" t="s">
        <v>3522</v>
      </c>
      <c r="C284" s="3237" t="s">
        <v>4461</v>
      </c>
      <c r="D284" s="3237" t="s">
        <v>4462</v>
      </c>
      <c r="E284" s="3237" t="s">
        <v>4463</v>
      </c>
      <c r="F284" s="3237" t="s">
        <v>4444</v>
      </c>
      <c r="G284" s="3237" t="s">
        <v>3221</v>
      </c>
      <c r="H284" s="3236" t="s">
        <v>4464</v>
      </c>
      <c r="I284" s="3236">
        <v>30.45</v>
      </c>
    </row>
    <row r="285" spans="1:9" ht="11.25" hidden="1" customHeight="1" x14ac:dyDescent="0.2">
      <c r="A285" s="3237" t="s">
        <v>4460</v>
      </c>
      <c r="B285" s="3237" t="s">
        <v>3523</v>
      </c>
      <c r="C285" s="3237" t="s">
        <v>4461</v>
      </c>
      <c r="D285" s="3237" t="s">
        <v>4462</v>
      </c>
      <c r="E285" s="3237" t="s">
        <v>4463</v>
      </c>
      <c r="F285" s="3237" t="s">
        <v>4444</v>
      </c>
      <c r="G285" s="3237" t="s">
        <v>3221</v>
      </c>
      <c r="H285" s="3236" t="s">
        <v>4464</v>
      </c>
      <c r="I285" s="3236">
        <v>30.45</v>
      </c>
    </row>
    <row r="286" spans="1:9" ht="11.25" hidden="1" customHeight="1" x14ac:dyDescent="0.2">
      <c r="A286" s="3237" t="s">
        <v>4460</v>
      </c>
      <c r="B286" s="3237" t="s">
        <v>3524</v>
      </c>
      <c r="C286" s="3237" t="s">
        <v>4461</v>
      </c>
      <c r="D286" s="3237" t="s">
        <v>4462</v>
      </c>
      <c r="E286" s="3237" t="s">
        <v>4463</v>
      </c>
      <c r="F286" s="3237" t="s">
        <v>4444</v>
      </c>
      <c r="G286" s="3237" t="s">
        <v>3221</v>
      </c>
      <c r="H286" s="3236" t="s">
        <v>4464</v>
      </c>
      <c r="I286" s="3236">
        <v>30.45</v>
      </c>
    </row>
    <row r="287" spans="1:9" ht="11.25" hidden="1" customHeight="1" x14ac:dyDescent="0.2">
      <c r="A287" s="3237" t="s">
        <v>4460</v>
      </c>
      <c r="B287" s="3237" t="s">
        <v>3525</v>
      </c>
      <c r="C287" s="3237" t="s">
        <v>4461</v>
      </c>
      <c r="D287" s="3237" t="s">
        <v>4462</v>
      </c>
      <c r="E287" s="3237" t="s">
        <v>4463</v>
      </c>
      <c r="F287" s="3237" t="s">
        <v>4444</v>
      </c>
      <c r="G287" s="3237" t="s">
        <v>3221</v>
      </c>
      <c r="H287" s="3236" t="s">
        <v>4464</v>
      </c>
      <c r="I287" s="3236">
        <v>30.45</v>
      </c>
    </row>
    <row r="288" spans="1:9" ht="11.25" hidden="1" customHeight="1" x14ac:dyDescent="0.2">
      <c r="A288" s="3237" t="s">
        <v>4460</v>
      </c>
      <c r="B288" s="3237" t="s">
        <v>3526</v>
      </c>
      <c r="C288" s="3237" t="s">
        <v>4461</v>
      </c>
      <c r="D288" s="3237" t="s">
        <v>4462</v>
      </c>
      <c r="E288" s="3237" t="s">
        <v>4463</v>
      </c>
      <c r="F288" s="3237" t="s">
        <v>4444</v>
      </c>
      <c r="G288" s="3237" t="s">
        <v>3221</v>
      </c>
      <c r="H288" s="3236" t="s">
        <v>4464</v>
      </c>
      <c r="I288" s="3236">
        <v>30.45</v>
      </c>
    </row>
    <row r="289" spans="1:9" ht="11.25" hidden="1" customHeight="1" x14ac:dyDescent="0.2">
      <c r="A289" s="3237" t="s">
        <v>4460</v>
      </c>
      <c r="B289" s="3237" t="s">
        <v>3527</v>
      </c>
      <c r="C289" s="3237" t="s">
        <v>4461</v>
      </c>
      <c r="D289" s="3237" t="s">
        <v>4462</v>
      </c>
      <c r="E289" s="3237" t="s">
        <v>4463</v>
      </c>
      <c r="F289" s="3237" t="s">
        <v>4444</v>
      </c>
      <c r="G289" s="3237" t="s">
        <v>3221</v>
      </c>
      <c r="H289" s="3236" t="s">
        <v>4464</v>
      </c>
      <c r="I289" s="3236">
        <v>30.45</v>
      </c>
    </row>
    <row r="290" spans="1:9" ht="11.25" hidden="1" customHeight="1" x14ac:dyDescent="0.2">
      <c r="A290" s="3237" t="s">
        <v>4460</v>
      </c>
      <c r="B290" s="3237" t="s">
        <v>3528</v>
      </c>
      <c r="C290" s="3237" t="s">
        <v>4461</v>
      </c>
      <c r="D290" s="3237" t="s">
        <v>4462</v>
      </c>
      <c r="E290" s="3237" t="s">
        <v>4463</v>
      </c>
      <c r="F290" s="3237" t="s">
        <v>4444</v>
      </c>
      <c r="G290" s="3237" t="s">
        <v>3221</v>
      </c>
      <c r="H290" s="3236" t="s">
        <v>4464</v>
      </c>
      <c r="I290" s="3236">
        <v>30.45</v>
      </c>
    </row>
    <row r="291" spans="1:9" ht="11.25" hidden="1" customHeight="1" x14ac:dyDescent="0.2">
      <c r="A291" s="3237" t="s">
        <v>4460</v>
      </c>
      <c r="B291" s="3237" t="s">
        <v>3529</v>
      </c>
      <c r="C291" s="3237" t="s">
        <v>4461</v>
      </c>
      <c r="D291" s="3237" t="s">
        <v>4462</v>
      </c>
      <c r="E291" s="3237" t="s">
        <v>4463</v>
      </c>
      <c r="F291" s="3237" t="s">
        <v>4444</v>
      </c>
      <c r="G291" s="3237" t="s">
        <v>3221</v>
      </c>
      <c r="H291" s="3236" t="s">
        <v>4464</v>
      </c>
      <c r="I291" s="3236">
        <v>30.45</v>
      </c>
    </row>
    <row r="292" spans="1:9" ht="11.25" hidden="1" customHeight="1" x14ac:dyDescent="0.2">
      <c r="A292" s="3237" t="s">
        <v>4460</v>
      </c>
      <c r="B292" s="3237" t="s">
        <v>3530</v>
      </c>
      <c r="C292" s="3237" t="s">
        <v>4461</v>
      </c>
      <c r="D292" s="3237" t="s">
        <v>4462</v>
      </c>
      <c r="E292" s="3237" t="s">
        <v>4463</v>
      </c>
      <c r="F292" s="3237" t="s">
        <v>4444</v>
      </c>
      <c r="G292" s="3237" t="s">
        <v>3221</v>
      </c>
      <c r="H292" s="3236" t="s">
        <v>4464</v>
      </c>
      <c r="I292" s="3236">
        <v>30.45</v>
      </c>
    </row>
    <row r="293" spans="1:9" ht="11.25" hidden="1" customHeight="1" x14ac:dyDescent="0.2">
      <c r="A293" s="3237" t="s">
        <v>4460</v>
      </c>
      <c r="B293" s="3237" t="s">
        <v>3531</v>
      </c>
      <c r="C293" s="3237" t="s">
        <v>4461</v>
      </c>
      <c r="D293" s="3237" t="s">
        <v>4462</v>
      </c>
      <c r="E293" s="3237" t="s">
        <v>4463</v>
      </c>
      <c r="F293" s="3237" t="s">
        <v>4444</v>
      </c>
      <c r="G293" s="3237" t="s">
        <v>3221</v>
      </c>
      <c r="H293" s="3236" t="s">
        <v>4464</v>
      </c>
      <c r="I293" s="3236">
        <v>30.45</v>
      </c>
    </row>
    <row r="294" spans="1:9" ht="11.25" hidden="1" customHeight="1" x14ac:dyDescent="0.2">
      <c r="A294" s="3237" t="s">
        <v>4460</v>
      </c>
      <c r="B294" s="3237" t="s">
        <v>3532</v>
      </c>
      <c r="C294" s="3237" t="s">
        <v>4461</v>
      </c>
      <c r="D294" s="3237" t="s">
        <v>4462</v>
      </c>
      <c r="E294" s="3237" t="s">
        <v>4463</v>
      </c>
      <c r="F294" s="3237" t="s">
        <v>4444</v>
      </c>
      <c r="G294" s="3237" t="s">
        <v>3221</v>
      </c>
      <c r="H294" s="3236" t="s">
        <v>4464</v>
      </c>
      <c r="I294" s="3236">
        <v>30.45</v>
      </c>
    </row>
    <row r="295" spans="1:9" ht="11.25" hidden="1" customHeight="1" x14ac:dyDescent="0.2">
      <c r="A295" s="3237" t="s">
        <v>4460</v>
      </c>
      <c r="B295" s="3237" t="s">
        <v>3533</v>
      </c>
      <c r="C295" s="3237" t="s">
        <v>4461</v>
      </c>
      <c r="D295" s="3237" t="s">
        <v>4462</v>
      </c>
      <c r="E295" s="3237" t="s">
        <v>4463</v>
      </c>
      <c r="F295" s="3237" t="s">
        <v>4444</v>
      </c>
      <c r="G295" s="3237" t="s">
        <v>3221</v>
      </c>
      <c r="H295" s="3236" t="s">
        <v>4464</v>
      </c>
      <c r="I295" s="3236">
        <v>30.45</v>
      </c>
    </row>
    <row r="296" spans="1:9" ht="11.25" hidden="1" customHeight="1" x14ac:dyDescent="0.2">
      <c r="A296" s="3237" t="s">
        <v>4460</v>
      </c>
      <c r="B296" s="3237" t="s">
        <v>3534</v>
      </c>
      <c r="C296" s="3237" t="s">
        <v>4461</v>
      </c>
      <c r="D296" s="3237" t="s">
        <v>4462</v>
      </c>
      <c r="E296" s="3237" t="s">
        <v>4463</v>
      </c>
      <c r="F296" s="3237" t="s">
        <v>4444</v>
      </c>
      <c r="G296" s="3237" t="s">
        <v>3221</v>
      </c>
      <c r="H296" s="3236" t="s">
        <v>4464</v>
      </c>
      <c r="I296" s="3236">
        <v>30.45</v>
      </c>
    </row>
    <row r="297" spans="1:9" ht="11.25" hidden="1" customHeight="1" x14ac:dyDescent="0.2">
      <c r="A297" s="3237" t="s">
        <v>4460</v>
      </c>
      <c r="B297" s="3237" t="s">
        <v>3535</v>
      </c>
      <c r="C297" s="3237" t="s">
        <v>4461</v>
      </c>
      <c r="D297" s="3237" t="s">
        <v>4462</v>
      </c>
      <c r="E297" s="3237" t="s">
        <v>4463</v>
      </c>
      <c r="F297" s="3237" t="s">
        <v>4444</v>
      </c>
      <c r="G297" s="3237" t="s">
        <v>3221</v>
      </c>
      <c r="H297" s="3236" t="s">
        <v>4464</v>
      </c>
      <c r="I297" s="3236">
        <v>30.45</v>
      </c>
    </row>
    <row r="298" spans="1:9" ht="11.25" hidden="1" customHeight="1" x14ac:dyDescent="0.2">
      <c r="A298" s="3237" t="s">
        <v>4460</v>
      </c>
      <c r="B298" s="3237" t="s">
        <v>3536</v>
      </c>
      <c r="C298" s="3237" t="s">
        <v>4461</v>
      </c>
      <c r="D298" s="3237" t="s">
        <v>4462</v>
      </c>
      <c r="E298" s="3237" t="s">
        <v>4463</v>
      </c>
      <c r="F298" s="3237" t="s">
        <v>4444</v>
      </c>
      <c r="G298" s="3237" t="s">
        <v>3221</v>
      </c>
      <c r="H298" s="3236" t="s">
        <v>4464</v>
      </c>
      <c r="I298" s="3236">
        <v>30.45</v>
      </c>
    </row>
    <row r="299" spans="1:9" ht="11.25" hidden="1" customHeight="1" x14ac:dyDescent="0.2">
      <c r="A299" s="3237" t="s">
        <v>4460</v>
      </c>
      <c r="B299" s="3237" t="s">
        <v>3537</v>
      </c>
      <c r="C299" s="3237" t="s">
        <v>4461</v>
      </c>
      <c r="D299" s="3237" t="s">
        <v>4462</v>
      </c>
      <c r="E299" s="3237" t="s">
        <v>4463</v>
      </c>
      <c r="F299" s="3237" t="s">
        <v>4444</v>
      </c>
      <c r="G299" s="3237" t="s">
        <v>3221</v>
      </c>
      <c r="H299" s="3236" t="s">
        <v>4464</v>
      </c>
      <c r="I299" s="3236">
        <v>30.45</v>
      </c>
    </row>
    <row r="300" spans="1:9" ht="11.25" hidden="1" customHeight="1" x14ac:dyDescent="0.2">
      <c r="A300" s="3237" t="s">
        <v>4460</v>
      </c>
      <c r="B300" s="3237" t="s">
        <v>3538</v>
      </c>
      <c r="C300" s="3237" t="s">
        <v>4461</v>
      </c>
      <c r="D300" s="3237" t="s">
        <v>4462</v>
      </c>
      <c r="E300" s="3237" t="s">
        <v>4463</v>
      </c>
      <c r="F300" s="3237" t="s">
        <v>4444</v>
      </c>
      <c r="G300" s="3237" t="s">
        <v>3221</v>
      </c>
      <c r="H300" s="3236" t="s">
        <v>4464</v>
      </c>
      <c r="I300" s="3236">
        <v>30.45</v>
      </c>
    </row>
    <row r="301" spans="1:9" ht="11.25" hidden="1" customHeight="1" x14ac:dyDescent="0.2">
      <c r="A301" s="3237" t="s">
        <v>4460</v>
      </c>
      <c r="B301" s="3237" t="s">
        <v>3539</v>
      </c>
      <c r="C301" s="3237" t="s">
        <v>4461</v>
      </c>
      <c r="D301" s="3237" t="s">
        <v>4462</v>
      </c>
      <c r="E301" s="3237" t="s">
        <v>4463</v>
      </c>
      <c r="F301" s="3237" t="s">
        <v>4444</v>
      </c>
      <c r="G301" s="3237" t="s">
        <v>3221</v>
      </c>
      <c r="H301" s="3236" t="s">
        <v>4464</v>
      </c>
      <c r="I301" s="3236">
        <v>30.45</v>
      </c>
    </row>
    <row r="302" spans="1:9" ht="11.25" hidden="1" customHeight="1" x14ac:dyDescent="0.2">
      <c r="A302" s="3237" t="s">
        <v>4460</v>
      </c>
      <c r="B302" s="3237" t="s">
        <v>3540</v>
      </c>
      <c r="C302" s="3237" t="s">
        <v>4461</v>
      </c>
      <c r="D302" s="3237" t="s">
        <v>4462</v>
      </c>
      <c r="E302" s="3237" t="s">
        <v>4463</v>
      </c>
      <c r="F302" s="3237" t="s">
        <v>4444</v>
      </c>
      <c r="G302" s="3237" t="s">
        <v>3221</v>
      </c>
      <c r="H302" s="3236" t="s">
        <v>4464</v>
      </c>
      <c r="I302" s="3236">
        <v>30.45</v>
      </c>
    </row>
    <row r="303" spans="1:9" ht="11.25" hidden="1" customHeight="1" x14ac:dyDescent="0.2">
      <c r="A303" s="3237" t="s">
        <v>4460</v>
      </c>
      <c r="B303" s="3237" t="s">
        <v>3541</v>
      </c>
      <c r="C303" s="3237" t="s">
        <v>4461</v>
      </c>
      <c r="D303" s="3237" t="s">
        <v>4462</v>
      </c>
      <c r="E303" s="3237" t="s">
        <v>4463</v>
      </c>
      <c r="F303" s="3237" t="s">
        <v>4444</v>
      </c>
      <c r="G303" s="3237" t="s">
        <v>3221</v>
      </c>
      <c r="H303" s="3236" t="s">
        <v>4464</v>
      </c>
      <c r="I303" s="3236">
        <v>30.45</v>
      </c>
    </row>
    <row r="304" spans="1:9" ht="11.25" hidden="1" customHeight="1" x14ac:dyDescent="0.2">
      <c r="A304" s="3237" t="s">
        <v>4460</v>
      </c>
      <c r="B304" s="3237" t="s">
        <v>3542</v>
      </c>
      <c r="C304" s="3237" t="s">
        <v>4461</v>
      </c>
      <c r="D304" s="3237" t="s">
        <v>4462</v>
      </c>
      <c r="E304" s="3237" t="s">
        <v>4463</v>
      </c>
      <c r="F304" s="3237" t="s">
        <v>4444</v>
      </c>
      <c r="G304" s="3237" t="s">
        <v>3221</v>
      </c>
      <c r="H304" s="3236" t="s">
        <v>4464</v>
      </c>
      <c r="I304" s="3236">
        <v>30.45</v>
      </c>
    </row>
    <row r="305" spans="1:9" ht="11.25" hidden="1" customHeight="1" x14ac:dyDescent="0.2">
      <c r="A305" s="3237" t="s">
        <v>4460</v>
      </c>
      <c r="B305" s="3237" t="s">
        <v>3543</v>
      </c>
      <c r="C305" s="3237" t="s">
        <v>4461</v>
      </c>
      <c r="D305" s="3237" t="s">
        <v>4462</v>
      </c>
      <c r="E305" s="3237" t="s">
        <v>4463</v>
      </c>
      <c r="F305" s="3237" t="s">
        <v>4444</v>
      </c>
      <c r="G305" s="3237" t="s">
        <v>3221</v>
      </c>
      <c r="H305" s="3236" t="s">
        <v>4464</v>
      </c>
      <c r="I305" s="3236">
        <v>30.45</v>
      </c>
    </row>
    <row r="306" spans="1:9" ht="11.25" hidden="1" customHeight="1" x14ac:dyDescent="0.2">
      <c r="A306" s="3237" t="s">
        <v>4460</v>
      </c>
      <c r="B306" s="3237" t="s">
        <v>3544</v>
      </c>
      <c r="C306" s="3237" t="s">
        <v>4461</v>
      </c>
      <c r="D306" s="3237" t="s">
        <v>4462</v>
      </c>
      <c r="E306" s="3237" t="s">
        <v>4463</v>
      </c>
      <c r="F306" s="3237" t="s">
        <v>4444</v>
      </c>
      <c r="G306" s="3237" t="s">
        <v>3221</v>
      </c>
      <c r="H306" s="3236" t="s">
        <v>4464</v>
      </c>
      <c r="I306" s="3236">
        <v>30.45</v>
      </c>
    </row>
    <row r="307" spans="1:9" ht="11.25" hidden="1" customHeight="1" x14ac:dyDescent="0.2">
      <c r="A307" s="3237" t="s">
        <v>4460</v>
      </c>
      <c r="B307" s="3237" t="s">
        <v>3545</v>
      </c>
      <c r="C307" s="3237" t="s">
        <v>4461</v>
      </c>
      <c r="D307" s="3237" t="s">
        <v>4462</v>
      </c>
      <c r="E307" s="3237" t="s">
        <v>4463</v>
      </c>
      <c r="F307" s="3237" t="s">
        <v>4444</v>
      </c>
      <c r="G307" s="3237" t="s">
        <v>3221</v>
      </c>
      <c r="H307" s="3236" t="s">
        <v>4464</v>
      </c>
      <c r="I307" s="3236">
        <v>30.45</v>
      </c>
    </row>
    <row r="308" spans="1:9" ht="11.25" hidden="1" customHeight="1" x14ac:dyDescent="0.2">
      <c r="A308" s="3237" t="s">
        <v>4460</v>
      </c>
      <c r="B308" s="3237" t="s">
        <v>3546</v>
      </c>
      <c r="C308" s="3237" t="s">
        <v>4461</v>
      </c>
      <c r="D308" s="3237" t="s">
        <v>4462</v>
      </c>
      <c r="E308" s="3237" t="s">
        <v>4463</v>
      </c>
      <c r="F308" s="3237" t="s">
        <v>4444</v>
      </c>
      <c r="G308" s="3237" t="s">
        <v>3221</v>
      </c>
      <c r="H308" s="3236" t="s">
        <v>4464</v>
      </c>
      <c r="I308" s="3236">
        <v>30.45</v>
      </c>
    </row>
    <row r="309" spans="1:9" ht="11.25" hidden="1" customHeight="1" x14ac:dyDescent="0.2">
      <c r="A309" s="3237" t="s">
        <v>4460</v>
      </c>
      <c r="B309" s="3237" t="s">
        <v>3547</v>
      </c>
      <c r="C309" s="3237" t="s">
        <v>4461</v>
      </c>
      <c r="D309" s="3237" t="s">
        <v>4462</v>
      </c>
      <c r="E309" s="3237" t="s">
        <v>4463</v>
      </c>
      <c r="F309" s="3237" t="s">
        <v>4444</v>
      </c>
      <c r="G309" s="3237" t="s">
        <v>3221</v>
      </c>
      <c r="H309" s="3236" t="s">
        <v>4464</v>
      </c>
      <c r="I309" s="3236">
        <v>30.45</v>
      </c>
    </row>
    <row r="310" spans="1:9" ht="11.25" hidden="1" customHeight="1" x14ac:dyDescent="0.2">
      <c r="A310" s="3237" t="s">
        <v>4460</v>
      </c>
      <c r="B310" s="3237" t="s">
        <v>3548</v>
      </c>
      <c r="C310" s="3237" t="s">
        <v>4461</v>
      </c>
      <c r="D310" s="3237" t="s">
        <v>4462</v>
      </c>
      <c r="E310" s="3237" t="s">
        <v>4463</v>
      </c>
      <c r="F310" s="3237" t="s">
        <v>4444</v>
      </c>
      <c r="G310" s="3237" t="s">
        <v>3221</v>
      </c>
      <c r="H310" s="3236" t="s">
        <v>4464</v>
      </c>
      <c r="I310" s="3236">
        <v>30.45</v>
      </c>
    </row>
    <row r="311" spans="1:9" ht="11.25" hidden="1" customHeight="1" x14ac:dyDescent="0.2">
      <c r="A311" s="3237" t="s">
        <v>4460</v>
      </c>
      <c r="B311" s="3237" t="s">
        <v>3549</v>
      </c>
      <c r="C311" s="3237" t="s">
        <v>4461</v>
      </c>
      <c r="D311" s="3237" t="s">
        <v>4462</v>
      </c>
      <c r="E311" s="3237" t="s">
        <v>4463</v>
      </c>
      <c r="F311" s="3237" t="s">
        <v>4444</v>
      </c>
      <c r="G311" s="3237" t="s">
        <v>3221</v>
      </c>
      <c r="H311" s="3236" t="s">
        <v>4464</v>
      </c>
      <c r="I311" s="3236">
        <v>30.45</v>
      </c>
    </row>
    <row r="312" spans="1:9" ht="11.25" hidden="1" customHeight="1" x14ac:dyDescent="0.2">
      <c r="A312" s="3237" t="s">
        <v>4460</v>
      </c>
      <c r="B312" s="3237" t="s">
        <v>3550</v>
      </c>
      <c r="C312" s="3237" t="s">
        <v>4461</v>
      </c>
      <c r="D312" s="3237" t="s">
        <v>4462</v>
      </c>
      <c r="E312" s="3237" t="s">
        <v>4463</v>
      </c>
      <c r="F312" s="3237" t="s">
        <v>4444</v>
      </c>
      <c r="G312" s="3237" t="s">
        <v>3221</v>
      </c>
      <c r="H312" s="3236" t="s">
        <v>4464</v>
      </c>
      <c r="I312" s="3236">
        <v>30.45</v>
      </c>
    </row>
    <row r="313" spans="1:9" ht="11.25" hidden="1" customHeight="1" x14ac:dyDescent="0.2">
      <c r="A313" s="3237" t="s">
        <v>4460</v>
      </c>
      <c r="B313" s="3237" t="s">
        <v>3551</v>
      </c>
      <c r="C313" s="3237" t="s">
        <v>4461</v>
      </c>
      <c r="D313" s="3237" t="s">
        <v>4462</v>
      </c>
      <c r="E313" s="3237" t="s">
        <v>4463</v>
      </c>
      <c r="F313" s="3237" t="s">
        <v>4444</v>
      </c>
      <c r="G313" s="3237" t="s">
        <v>3221</v>
      </c>
      <c r="H313" s="3236" t="s">
        <v>4464</v>
      </c>
      <c r="I313" s="3236">
        <v>30.45</v>
      </c>
    </row>
    <row r="314" spans="1:9" ht="11.25" hidden="1" customHeight="1" x14ac:dyDescent="0.2">
      <c r="A314" s="3237" t="s">
        <v>4460</v>
      </c>
      <c r="B314" s="3237" t="s">
        <v>3552</v>
      </c>
      <c r="C314" s="3237" t="s">
        <v>4461</v>
      </c>
      <c r="D314" s="3237" t="s">
        <v>4462</v>
      </c>
      <c r="E314" s="3237" t="s">
        <v>4463</v>
      </c>
      <c r="F314" s="3237" t="s">
        <v>4444</v>
      </c>
      <c r="G314" s="3237" t="s">
        <v>3221</v>
      </c>
      <c r="H314" s="3236" t="s">
        <v>4464</v>
      </c>
      <c r="I314" s="3236">
        <v>30.45</v>
      </c>
    </row>
    <row r="315" spans="1:9" ht="11.25" hidden="1" customHeight="1" x14ac:dyDescent="0.2">
      <c r="A315" s="3237" t="s">
        <v>4460</v>
      </c>
      <c r="B315" s="3237" t="s">
        <v>3553</v>
      </c>
      <c r="C315" s="3237" t="s">
        <v>4461</v>
      </c>
      <c r="D315" s="3237" t="s">
        <v>4462</v>
      </c>
      <c r="E315" s="3237" t="s">
        <v>4463</v>
      </c>
      <c r="F315" s="3237" t="s">
        <v>4444</v>
      </c>
      <c r="G315" s="3237" t="s">
        <v>3221</v>
      </c>
      <c r="H315" s="3236" t="s">
        <v>4464</v>
      </c>
      <c r="I315" s="3236">
        <v>30.45</v>
      </c>
    </row>
    <row r="316" spans="1:9" ht="11.25" hidden="1" customHeight="1" x14ac:dyDescent="0.2">
      <c r="A316" s="3237" t="s">
        <v>4460</v>
      </c>
      <c r="B316" s="3237" t="s">
        <v>3554</v>
      </c>
      <c r="C316" s="3237" t="s">
        <v>4461</v>
      </c>
      <c r="D316" s="3237" t="s">
        <v>4462</v>
      </c>
      <c r="E316" s="3237" t="s">
        <v>4463</v>
      </c>
      <c r="F316" s="3237" t="s">
        <v>4444</v>
      </c>
      <c r="G316" s="3237" t="s">
        <v>3221</v>
      </c>
      <c r="H316" s="3236" t="s">
        <v>4464</v>
      </c>
      <c r="I316" s="3236">
        <v>30.45</v>
      </c>
    </row>
    <row r="317" spans="1:9" ht="11.25" hidden="1" customHeight="1" x14ac:dyDescent="0.2">
      <c r="A317" s="3237" t="s">
        <v>4460</v>
      </c>
      <c r="B317" s="3237" t="s">
        <v>3555</v>
      </c>
      <c r="C317" s="3237" t="s">
        <v>4461</v>
      </c>
      <c r="D317" s="3237" t="s">
        <v>4462</v>
      </c>
      <c r="E317" s="3237" t="s">
        <v>4463</v>
      </c>
      <c r="F317" s="3237" t="s">
        <v>4444</v>
      </c>
      <c r="G317" s="3237" t="s">
        <v>3221</v>
      </c>
      <c r="H317" s="3236" t="s">
        <v>4464</v>
      </c>
      <c r="I317" s="3236">
        <v>30.45</v>
      </c>
    </row>
    <row r="318" spans="1:9" ht="11.25" hidden="1" customHeight="1" x14ac:dyDescent="0.2">
      <c r="A318" s="3237" t="s">
        <v>4460</v>
      </c>
      <c r="B318" s="3237" t="s">
        <v>3556</v>
      </c>
      <c r="C318" s="3237" t="s">
        <v>4461</v>
      </c>
      <c r="D318" s="3237" t="s">
        <v>4462</v>
      </c>
      <c r="E318" s="3237" t="s">
        <v>4463</v>
      </c>
      <c r="F318" s="3237" t="s">
        <v>4444</v>
      </c>
      <c r="G318" s="3237" t="s">
        <v>3221</v>
      </c>
      <c r="H318" s="3236" t="s">
        <v>4464</v>
      </c>
      <c r="I318" s="3236">
        <v>30.45</v>
      </c>
    </row>
    <row r="319" spans="1:9" ht="11.25" hidden="1" customHeight="1" x14ac:dyDescent="0.2">
      <c r="A319" s="3237" t="s">
        <v>4460</v>
      </c>
      <c r="B319" s="3237" t="s">
        <v>3557</v>
      </c>
      <c r="C319" s="3237" t="s">
        <v>4461</v>
      </c>
      <c r="D319" s="3237" t="s">
        <v>4462</v>
      </c>
      <c r="E319" s="3237" t="s">
        <v>4463</v>
      </c>
      <c r="F319" s="3237" t="s">
        <v>4444</v>
      </c>
      <c r="G319" s="3237" t="s">
        <v>3221</v>
      </c>
      <c r="H319" s="3236" t="s">
        <v>4464</v>
      </c>
      <c r="I319" s="3236">
        <v>30.45</v>
      </c>
    </row>
    <row r="320" spans="1:9" ht="11.25" hidden="1" customHeight="1" x14ac:dyDescent="0.2">
      <c r="A320" s="3237" t="s">
        <v>4460</v>
      </c>
      <c r="B320" s="3237" t="s">
        <v>3558</v>
      </c>
      <c r="C320" s="3237" t="s">
        <v>4461</v>
      </c>
      <c r="D320" s="3237" t="s">
        <v>4462</v>
      </c>
      <c r="E320" s="3237" t="s">
        <v>4463</v>
      </c>
      <c r="F320" s="3237" t="s">
        <v>4444</v>
      </c>
      <c r="G320" s="3237" t="s">
        <v>3221</v>
      </c>
      <c r="H320" s="3236" t="s">
        <v>4464</v>
      </c>
      <c r="I320" s="3236">
        <v>30.45</v>
      </c>
    </row>
    <row r="321" spans="1:9" ht="11.25" hidden="1" customHeight="1" x14ac:dyDescent="0.2">
      <c r="A321" s="3237" t="s">
        <v>4460</v>
      </c>
      <c r="B321" s="3237" t="s">
        <v>3559</v>
      </c>
      <c r="C321" s="3237" t="s">
        <v>4461</v>
      </c>
      <c r="D321" s="3237" t="s">
        <v>4462</v>
      </c>
      <c r="E321" s="3237" t="s">
        <v>4463</v>
      </c>
      <c r="F321" s="3237" t="s">
        <v>4444</v>
      </c>
      <c r="G321" s="3237" t="s">
        <v>3221</v>
      </c>
      <c r="H321" s="3236" t="s">
        <v>4464</v>
      </c>
      <c r="I321" s="3236">
        <v>30.45</v>
      </c>
    </row>
    <row r="322" spans="1:9" ht="11.25" hidden="1" customHeight="1" x14ac:dyDescent="0.2">
      <c r="A322" s="3237" t="s">
        <v>4460</v>
      </c>
      <c r="B322" s="3237" t="s">
        <v>3560</v>
      </c>
      <c r="C322" s="3237" t="s">
        <v>4461</v>
      </c>
      <c r="D322" s="3237" t="s">
        <v>4462</v>
      </c>
      <c r="E322" s="3237" t="s">
        <v>4463</v>
      </c>
      <c r="F322" s="3237" t="s">
        <v>4444</v>
      </c>
      <c r="G322" s="3237" t="s">
        <v>3221</v>
      </c>
      <c r="H322" s="3236" t="s">
        <v>4464</v>
      </c>
      <c r="I322" s="3236">
        <v>30.45</v>
      </c>
    </row>
    <row r="323" spans="1:9" ht="11.25" hidden="1" customHeight="1" x14ac:dyDescent="0.2">
      <c r="A323" s="3237" t="s">
        <v>4460</v>
      </c>
      <c r="B323" s="3237" t="s">
        <v>3561</v>
      </c>
      <c r="C323" s="3237" t="s">
        <v>4461</v>
      </c>
      <c r="D323" s="3237" t="s">
        <v>4462</v>
      </c>
      <c r="E323" s="3237" t="s">
        <v>4463</v>
      </c>
      <c r="F323" s="3237" t="s">
        <v>4444</v>
      </c>
      <c r="G323" s="3237" t="s">
        <v>3221</v>
      </c>
      <c r="H323" s="3236" t="s">
        <v>4464</v>
      </c>
      <c r="I323" s="3236">
        <v>30.45</v>
      </c>
    </row>
    <row r="324" spans="1:9" ht="11.25" hidden="1" customHeight="1" x14ac:dyDescent="0.2">
      <c r="A324" s="3237" t="s">
        <v>4460</v>
      </c>
      <c r="B324" s="3237" t="s">
        <v>3562</v>
      </c>
      <c r="C324" s="3237" t="s">
        <v>4461</v>
      </c>
      <c r="D324" s="3237" t="s">
        <v>4462</v>
      </c>
      <c r="E324" s="3237" t="s">
        <v>4463</v>
      </c>
      <c r="F324" s="3237" t="s">
        <v>4444</v>
      </c>
      <c r="G324" s="3237" t="s">
        <v>3221</v>
      </c>
      <c r="H324" s="3236" t="s">
        <v>4464</v>
      </c>
      <c r="I324" s="3236">
        <v>30.45</v>
      </c>
    </row>
    <row r="325" spans="1:9" ht="11.25" hidden="1" customHeight="1" x14ac:dyDescent="0.2">
      <c r="A325" s="3237" t="s">
        <v>4460</v>
      </c>
      <c r="B325" s="3237" t="s">
        <v>3563</v>
      </c>
      <c r="C325" s="3237" t="s">
        <v>4461</v>
      </c>
      <c r="D325" s="3237" t="s">
        <v>4462</v>
      </c>
      <c r="E325" s="3237" t="s">
        <v>4463</v>
      </c>
      <c r="F325" s="3237" t="s">
        <v>4444</v>
      </c>
      <c r="G325" s="3237" t="s">
        <v>3221</v>
      </c>
      <c r="H325" s="3236" t="s">
        <v>4464</v>
      </c>
      <c r="I325" s="3236">
        <v>30.45</v>
      </c>
    </row>
    <row r="326" spans="1:9" ht="11.25" hidden="1" customHeight="1" x14ac:dyDescent="0.2">
      <c r="A326" s="3237" t="s">
        <v>4460</v>
      </c>
      <c r="B326" s="3237" t="s">
        <v>3564</v>
      </c>
      <c r="C326" s="3237" t="s">
        <v>4461</v>
      </c>
      <c r="D326" s="3237" t="s">
        <v>4462</v>
      </c>
      <c r="E326" s="3237" t="s">
        <v>4463</v>
      </c>
      <c r="F326" s="3237" t="s">
        <v>4444</v>
      </c>
      <c r="G326" s="3237" t="s">
        <v>3221</v>
      </c>
      <c r="H326" s="3236" t="s">
        <v>4464</v>
      </c>
      <c r="I326" s="3236">
        <v>30.45</v>
      </c>
    </row>
    <row r="327" spans="1:9" ht="11.25" hidden="1" customHeight="1" x14ac:dyDescent="0.2">
      <c r="A327" s="3237" t="s">
        <v>4460</v>
      </c>
      <c r="B327" s="3237" t="s">
        <v>3565</v>
      </c>
      <c r="C327" s="3237" t="s">
        <v>4461</v>
      </c>
      <c r="D327" s="3237" t="s">
        <v>4462</v>
      </c>
      <c r="E327" s="3237" t="s">
        <v>4463</v>
      </c>
      <c r="F327" s="3237" t="s">
        <v>4444</v>
      </c>
      <c r="G327" s="3237" t="s">
        <v>3221</v>
      </c>
      <c r="H327" s="3236" t="s">
        <v>4464</v>
      </c>
      <c r="I327" s="3236">
        <v>30.45</v>
      </c>
    </row>
    <row r="328" spans="1:9" ht="11.25" hidden="1" customHeight="1" x14ac:dyDescent="0.2">
      <c r="A328" s="3237" t="s">
        <v>4460</v>
      </c>
      <c r="B328" s="3237" t="s">
        <v>3566</v>
      </c>
      <c r="C328" s="3237" t="s">
        <v>4461</v>
      </c>
      <c r="D328" s="3237" t="s">
        <v>4462</v>
      </c>
      <c r="E328" s="3237" t="s">
        <v>4463</v>
      </c>
      <c r="F328" s="3237" t="s">
        <v>4444</v>
      </c>
      <c r="G328" s="3237" t="s">
        <v>3221</v>
      </c>
      <c r="H328" s="3236" t="s">
        <v>4464</v>
      </c>
      <c r="I328" s="3236">
        <v>30.45</v>
      </c>
    </row>
    <row r="329" spans="1:9" ht="11.25" hidden="1" customHeight="1" x14ac:dyDescent="0.2">
      <c r="A329" s="3237" t="s">
        <v>4460</v>
      </c>
      <c r="B329" s="3237" t="s">
        <v>3567</v>
      </c>
      <c r="C329" s="3237" t="s">
        <v>4461</v>
      </c>
      <c r="D329" s="3237" t="s">
        <v>4462</v>
      </c>
      <c r="E329" s="3237" t="s">
        <v>4463</v>
      </c>
      <c r="F329" s="3237" t="s">
        <v>4444</v>
      </c>
      <c r="G329" s="3237" t="s">
        <v>3221</v>
      </c>
      <c r="H329" s="3236" t="s">
        <v>4464</v>
      </c>
      <c r="I329" s="3236">
        <v>30.45</v>
      </c>
    </row>
    <row r="330" spans="1:9" ht="11.25" hidden="1" customHeight="1" x14ac:dyDescent="0.2">
      <c r="A330" s="3237" t="s">
        <v>4460</v>
      </c>
      <c r="B330" s="3237" t="s">
        <v>3568</v>
      </c>
      <c r="C330" s="3237" t="s">
        <v>4461</v>
      </c>
      <c r="D330" s="3237" t="s">
        <v>4462</v>
      </c>
      <c r="E330" s="3237" t="s">
        <v>4463</v>
      </c>
      <c r="F330" s="3237" t="s">
        <v>4444</v>
      </c>
      <c r="G330" s="3237" t="s">
        <v>3221</v>
      </c>
      <c r="H330" s="3236" t="s">
        <v>4464</v>
      </c>
      <c r="I330" s="3236">
        <v>30.45</v>
      </c>
    </row>
    <row r="331" spans="1:9" ht="11.25" hidden="1" customHeight="1" x14ac:dyDescent="0.2">
      <c r="A331" s="3237" t="s">
        <v>4460</v>
      </c>
      <c r="B331" s="3237" t="s">
        <v>3569</v>
      </c>
      <c r="C331" s="3237" t="s">
        <v>4461</v>
      </c>
      <c r="D331" s="3237" t="s">
        <v>4462</v>
      </c>
      <c r="E331" s="3237" t="s">
        <v>4463</v>
      </c>
      <c r="F331" s="3237" t="s">
        <v>4444</v>
      </c>
      <c r="G331" s="3237" t="s">
        <v>3221</v>
      </c>
      <c r="H331" s="3236" t="s">
        <v>4464</v>
      </c>
      <c r="I331" s="3236">
        <v>30.45</v>
      </c>
    </row>
    <row r="332" spans="1:9" ht="11.25" hidden="1" customHeight="1" x14ac:dyDescent="0.2">
      <c r="A332" s="3237" t="s">
        <v>4460</v>
      </c>
      <c r="B332" s="3237" t="s">
        <v>3570</v>
      </c>
      <c r="C332" s="3237" t="s">
        <v>4461</v>
      </c>
      <c r="D332" s="3237" t="s">
        <v>4462</v>
      </c>
      <c r="E332" s="3237" t="s">
        <v>4463</v>
      </c>
      <c r="F332" s="3237" t="s">
        <v>4444</v>
      </c>
      <c r="G332" s="3237" t="s">
        <v>3221</v>
      </c>
      <c r="H332" s="3236" t="s">
        <v>4464</v>
      </c>
      <c r="I332" s="3236">
        <v>30.45</v>
      </c>
    </row>
    <row r="333" spans="1:9" ht="11.25" hidden="1" customHeight="1" x14ac:dyDescent="0.2">
      <c r="A333" s="3237" t="s">
        <v>4460</v>
      </c>
      <c r="B333" s="3237" t="s">
        <v>3571</v>
      </c>
      <c r="C333" s="3237" t="s">
        <v>4461</v>
      </c>
      <c r="D333" s="3237" t="s">
        <v>4462</v>
      </c>
      <c r="E333" s="3237" t="s">
        <v>4463</v>
      </c>
      <c r="F333" s="3237" t="s">
        <v>4444</v>
      </c>
      <c r="G333" s="3237" t="s">
        <v>3221</v>
      </c>
      <c r="H333" s="3236" t="s">
        <v>4464</v>
      </c>
      <c r="I333" s="3236">
        <v>30.45</v>
      </c>
    </row>
    <row r="334" spans="1:9" ht="11.25" hidden="1" customHeight="1" x14ac:dyDescent="0.2">
      <c r="A334" s="3237" t="s">
        <v>4460</v>
      </c>
      <c r="B334" s="3237" t="s">
        <v>3572</v>
      </c>
      <c r="C334" s="3237" t="s">
        <v>4461</v>
      </c>
      <c r="D334" s="3237" t="s">
        <v>4462</v>
      </c>
      <c r="E334" s="3237" t="s">
        <v>4463</v>
      </c>
      <c r="F334" s="3237" t="s">
        <v>4444</v>
      </c>
      <c r="G334" s="3237" t="s">
        <v>3221</v>
      </c>
      <c r="H334" s="3236" t="s">
        <v>4464</v>
      </c>
      <c r="I334" s="3236">
        <v>30.45</v>
      </c>
    </row>
    <row r="335" spans="1:9" ht="11.25" hidden="1" customHeight="1" x14ac:dyDescent="0.2">
      <c r="A335" s="3237" t="s">
        <v>4460</v>
      </c>
      <c r="B335" s="3237" t="s">
        <v>3573</v>
      </c>
      <c r="C335" s="3237" t="s">
        <v>4461</v>
      </c>
      <c r="D335" s="3237" t="s">
        <v>4462</v>
      </c>
      <c r="E335" s="3237" t="s">
        <v>4463</v>
      </c>
      <c r="F335" s="3237" t="s">
        <v>4444</v>
      </c>
      <c r="G335" s="3237" t="s">
        <v>3221</v>
      </c>
      <c r="H335" s="3236" t="s">
        <v>4464</v>
      </c>
      <c r="I335" s="3236">
        <v>30.45</v>
      </c>
    </row>
    <row r="336" spans="1:9" ht="11.25" hidden="1" customHeight="1" x14ac:dyDescent="0.2">
      <c r="A336" s="3237" t="s">
        <v>4460</v>
      </c>
      <c r="B336" s="3237" t="s">
        <v>3574</v>
      </c>
      <c r="C336" s="3237" t="s">
        <v>4461</v>
      </c>
      <c r="D336" s="3237" t="s">
        <v>4462</v>
      </c>
      <c r="E336" s="3237" t="s">
        <v>4463</v>
      </c>
      <c r="F336" s="3237" t="s">
        <v>4444</v>
      </c>
      <c r="G336" s="3237" t="s">
        <v>3221</v>
      </c>
      <c r="H336" s="3236" t="s">
        <v>4464</v>
      </c>
      <c r="I336" s="3236">
        <v>30.45</v>
      </c>
    </row>
    <row r="337" spans="1:11" ht="11.25" hidden="1" customHeight="1" x14ac:dyDescent="0.2">
      <c r="A337" s="3237" t="s">
        <v>4460</v>
      </c>
      <c r="B337" s="3237" t="s">
        <v>3575</v>
      </c>
      <c r="C337" s="3237" t="s">
        <v>4461</v>
      </c>
      <c r="D337" s="3237" t="s">
        <v>4462</v>
      </c>
      <c r="E337" s="3237" t="s">
        <v>4463</v>
      </c>
      <c r="F337" s="3237" t="s">
        <v>4444</v>
      </c>
      <c r="G337" s="3237" t="s">
        <v>3221</v>
      </c>
      <c r="H337" s="3236" t="s">
        <v>4464</v>
      </c>
      <c r="I337" s="3236">
        <v>30.45</v>
      </c>
      <c r="K337" s="3241"/>
    </row>
    <row r="338" spans="1:11" ht="11.25" hidden="1" customHeight="1" x14ac:dyDescent="0.2">
      <c r="A338" s="3237" t="s">
        <v>4460</v>
      </c>
      <c r="B338" s="3237" t="s">
        <v>3576</v>
      </c>
      <c r="C338" s="3237" t="s">
        <v>4461</v>
      </c>
      <c r="D338" s="3237" t="s">
        <v>4462</v>
      </c>
      <c r="E338" s="3237" t="s">
        <v>4463</v>
      </c>
      <c r="F338" s="3237" t="s">
        <v>4444</v>
      </c>
      <c r="G338" s="3237" t="s">
        <v>3221</v>
      </c>
      <c r="H338" s="3237" t="s">
        <v>4464</v>
      </c>
      <c r="I338" s="3236">
        <v>30.45</v>
      </c>
    </row>
    <row r="339" spans="1:11" ht="11.25" hidden="1" customHeight="1" x14ac:dyDescent="0.2">
      <c r="A339" s="3237"/>
      <c r="B339" s="3237"/>
      <c r="C339" s="3237"/>
      <c r="D339" s="3237"/>
      <c r="E339" s="3237"/>
      <c r="F339" s="3237"/>
      <c r="G339" s="3419" t="s">
        <v>4465</v>
      </c>
      <c r="H339" s="3419"/>
      <c r="I339" s="3242">
        <f>SUM(I7:I338)</f>
        <v>10132.520000000013</v>
      </c>
    </row>
    <row r="340" spans="1:11" ht="11.25" hidden="1" customHeight="1" x14ac:dyDescent="0.2">
      <c r="A340" s="3237" t="s">
        <v>4466</v>
      </c>
      <c r="B340" s="3237" t="s">
        <v>3577</v>
      </c>
      <c r="C340" s="3237" t="s">
        <v>4461</v>
      </c>
      <c r="D340" s="3237" t="s">
        <v>4462</v>
      </c>
      <c r="E340" s="3237" t="s">
        <v>4467</v>
      </c>
      <c r="F340" s="3237" t="s">
        <v>3662</v>
      </c>
      <c r="G340" s="3237" t="s">
        <v>3221</v>
      </c>
      <c r="H340" s="3237" t="s">
        <v>4464</v>
      </c>
      <c r="I340" s="3236">
        <v>53.1</v>
      </c>
    </row>
    <row r="341" spans="1:11" ht="11.25" hidden="1" customHeight="1" x14ac:dyDescent="0.2">
      <c r="A341" s="3237" t="s">
        <v>4466</v>
      </c>
      <c r="B341" s="3237" t="s">
        <v>3578</v>
      </c>
      <c r="C341" s="3237" t="s">
        <v>4461</v>
      </c>
      <c r="D341" s="3237" t="s">
        <v>4462</v>
      </c>
      <c r="E341" s="3237" t="s">
        <v>4467</v>
      </c>
      <c r="F341" s="3237" t="s">
        <v>3662</v>
      </c>
      <c r="G341" s="3237" t="s">
        <v>3221</v>
      </c>
      <c r="H341" s="3237" t="s">
        <v>4464</v>
      </c>
      <c r="I341" s="3236">
        <v>53.1</v>
      </c>
    </row>
    <row r="342" spans="1:11" ht="11.25" hidden="1" customHeight="1" x14ac:dyDescent="0.2">
      <c r="A342" s="3237" t="s">
        <v>4466</v>
      </c>
      <c r="B342" s="3237" t="s">
        <v>3579</v>
      </c>
      <c r="C342" s="3237" t="s">
        <v>4461</v>
      </c>
      <c r="D342" s="3237" t="s">
        <v>4462</v>
      </c>
      <c r="E342" s="3237" t="s">
        <v>4467</v>
      </c>
      <c r="F342" s="3237" t="s">
        <v>3662</v>
      </c>
      <c r="G342" s="3237" t="s">
        <v>3221</v>
      </c>
      <c r="H342" s="3237" t="s">
        <v>4464</v>
      </c>
      <c r="I342" s="3236">
        <v>53.1</v>
      </c>
    </row>
    <row r="343" spans="1:11" ht="11.25" hidden="1" customHeight="1" x14ac:dyDescent="0.2">
      <c r="A343" s="3237" t="s">
        <v>4466</v>
      </c>
      <c r="B343" s="3237" t="s">
        <v>3580</v>
      </c>
      <c r="C343" s="3237" t="s">
        <v>4461</v>
      </c>
      <c r="D343" s="3237" t="s">
        <v>4462</v>
      </c>
      <c r="E343" s="3237" t="s">
        <v>4467</v>
      </c>
      <c r="F343" s="3237" t="s">
        <v>3662</v>
      </c>
      <c r="G343" s="3237" t="s">
        <v>3221</v>
      </c>
      <c r="H343" s="3237" t="s">
        <v>4464</v>
      </c>
      <c r="I343" s="3236">
        <v>53.1</v>
      </c>
    </row>
    <row r="344" spans="1:11" ht="11.25" hidden="1" customHeight="1" x14ac:dyDescent="0.2">
      <c r="A344" s="3237" t="s">
        <v>4466</v>
      </c>
      <c r="B344" s="3237" t="s">
        <v>3581</v>
      </c>
      <c r="C344" s="3237" t="s">
        <v>4461</v>
      </c>
      <c r="D344" s="3237" t="s">
        <v>4462</v>
      </c>
      <c r="E344" s="3237" t="s">
        <v>4467</v>
      </c>
      <c r="F344" s="3237" t="s">
        <v>3662</v>
      </c>
      <c r="G344" s="3237" t="s">
        <v>3221</v>
      </c>
      <c r="H344" s="3237" t="s">
        <v>4464</v>
      </c>
      <c r="I344" s="3236">
        <v>53.1</v>
      </c>
    </row>
    <row r="345" spans="1:11" ht="11.25" hidden="1" customHeight="1" x14ac:dyDescent="0.2">
      <c r="A345" s="3237" t="s">
        <v>4466</v>
      </c>
      <c r="B345" s="3237" t="s">
        <v>3582</v>
      </c>
      <c r="C345" s="3237" t="s">
        <v>4461</v>
      </c>
      <c r="D345" s="3237" t="s">
        <v>4462</v>
      </c>
      <c r="E345" s="3237" t="s">
        <v>4467</v>
      </c>
      <c r="F345" s="3237" t="s">
        <v>3662</v>
      </c>
      <c r="G345" s="3237" t="s">
        <v>3221</v>
      </c>
      <c r="H345" s="3237" t="s">
        <v>4464</v>
      </c>
      <c r="I345" s="3236">
        <v>53.1</v>
      </c>
    </row>
    <row r="346" spans="1:11" ht="11.25" hidden="1" customHeight="1" x14ac:dyDescent="0.2">
      <c r="A346" s="3237" t="s">
        <v>4466</v>
      </c>
      <c r="B346" s="3237" t="s">
        <v>3583</v>
      </c>
      <c r="C346" s="3237" t="s">
        <v>4461</v>
      </c>
      <c r="D346" s="3237" t="s">
        <v>4462</v>
      </c>
      <c r="E346" s="3237" t="s">
        <v>4467</v>
      </c>
      <c r="F346" s="3237" t="s">
        <v>3662</v>
      </c>
      <c r="G346" s="3237" t="s">
        <v>3221</v>
      </c>
      <c r="H346" s="3237" t="s">
        <v>4464</v>
      </c>
      <c r="I346" s="3236">
        <v>53.1</v>
      </c>
    </row>
    <row r="347" spans="1:11" ht="11.25" hidden="1" customHeight="1" x14ac:dyDescent="0.2">
      <c r="A347" s="3237" t="s">
        <v>4466</v>
      </c>
      <c r="B347" s="3237" t="s">
        <v>3584</v>
      </c>
      <c r="C347" s="3237" t="s">
        <v>4461</v>
      </c>
      <c r="D347" s="3237" t="s">
        <v>4462</v>
      </c>
      <c r="E347" s="3237" t="s">
        <v>4467</v>
      </c>
      <c r="F347" s="3237" t="s">
        <v>3662</v>
      </c>
      <c r="G347" s="3237" t="s">
        <v>3221</v>
      </c>
      <c r="H347" s="3237" t="s">
        <v>4464</v>
      </c>
      <c r="I347" s="3236">
        <v>53.1</v>
      </c>
    </row>
    <row r="348" spans="1:11" ht="11.25" hidden="1" customHeight="1" x14ac:dyDescent="0.2">
      <c r="A348" s="3237" t="s">
        <v>4466</v>
      </c>
      <c r="B348" s="3237" t="s">
        <v>3585</v>
      </c>
      <c r="C348" s="3237" t="s">
        <v>4461</v>
      </c>
      <c r="D348" s="3237" t="s">
        <v>4462</v>
      </c>
      <c r="E348" s="3237" t="s">
        <v>4467</v>
      </c>
      <c r="F348" s="3237" t="s">
        <v>3662</v>
      </c>
      <c r="G348" s="3237" t="s">
        <v>3221</v>
      </c>
      <c r="H348" s="3237" t="s">
        <v>4464</v>
      </c>
      <c r="I348" s="3236">
        <v>53.1</v>
      </c>
    </row>
    <row r="349" spans="1:11" ht="11.25" hidden="1" customHeight="1" x14ac:dyDescent="0.2">
      <c r="A349" s="3237" t="s">
        <v>4466</v>
      </c>
      <c r="B349" s="3237" t="s">
        <v>3586</v>
      </c>
      <c r="C349" s="3237" t="s">
        <v>4461</v>
      </c>
      <c r="D349" s="3237" t="s">
        <v>4462</v>
      </c>
      <c r="E349" s="3237" t="s">
        <v>4467</v>
      </c>
      <c r="F349" s="3237" t="s">
        <v>3662</v>
      </c>
      <c r="G349" s="3237" t="s">
        <v>3221</v>
      </c>
      <c r="H349" s="3237" t="s">
        <v>4464</v>
      </c>
      <c r="I349" s="3236">
        <v>53.1</v>
      </c>
    </row>
    <row r="350" spans="1:11" ht="11.25" hidden="1" customHeight="1" x14ac:dyDescent="0.2">
      <c r="A350" s="3237" t="s">
        <v>4466</v>
      </c>
      <c r="B350" s="3237" t="s">
        <v>3587</v>
      </c>
      <c r="C350" s="3237" t="s">
        <v>4461</v>
      </c>
      <c r="D350" s="3237" t="s">
        <v>4462</v>
      </c>
      <c r="E350" s="3237" t="s">
        <v>4467</v>
      </c>
      <c r="F350" s="3237" t="s">
        <v>3662</v>
      </c>
      <c r="G350" s="3237" t="s">
        <v>3221</v>
      </c>
      <c r="H350" s="3237" t="s">
        <v>4464</v>
      </c>
      <c r="I350" s="3236">
        <v>53.1</v>
      </c>
    </row>
    <row r="351" spans="1:11" ht="11.25" hidden="1" customHeight="1" x14ac:dyDescent="0.2">
      <c r="A351" s="3237" t="s">
        <v>4466</v>
      </c>
      <c r="B351" s="3237" t="s">
        <v>3588</v>
      </c>
      <c r="C351" s="3237" t="s">
        <v>4461</v>
      </c>
      <c r="D351" s="3237" t="s">
        <v>4462</v>
      </c>
      <c r="E351" s="3237" t="s">
        <v>4467</v>
      </c>
      <c r="F351" s="3237" t="s">
        <v>3662</v>
      </c>
      <c r="G351" s="3237" t="s">
        <v>3221</v>
      </c>
      <c r="H351" s="3237" t="s">
        <v>4464</v>
      </c>
      <c r="I351" s="3236">
        <v>53.1</v>
      </c>
    </row>
    <row r="352" spans="1:11" ht="11.25" hidden="1" customHeight="1" x14ac:dyDescent="0.2">
      <c r="A352" s="3237" t="s">
        <v>4466</v>
      </c>
      <c r="B352" s="3237" t="s">
        <v>3589</v>
      </c>
      <c r="C352" s="3237" t="s">
        <v>4461</v>
      </c>
      <c r="D352" s="3237" t="s">
        <v>4462</v>
      </c>
      <c r="E352" s="3237" t="s">
        <v>4467</v>
      </c>
      <c r="F352" s="3237" t="s">
        <v>3662</v>
      </c>
      <c r="G352" s="3237" t="s">
        <v>3221</v>
      </c>
      <c r="H352" s="3237" t="s">
        <v>4464</v>
      </c>
      <c r="I352" s="3236">
        <v>53.1</v>
      </c>
    </row>
    <row r="353" spans="1:9" ht="11.25" hidden="1" customHeight="1" x14ac:dyDescent="0.2">
      <c r="A353" s="3237" t="s">
        <v>4466</v>
      </c>
      <c r="B353" s="3237" t="s">
        <v>3590</v>
      </c>
      <c r="C353" s="3237" t="s">
        <v>4461</v>
      </c>
      <c r="D353" s="3237" t="s">
        <v>4462</v>
      </c>
      <c r="E353" s="3237" t="s">
        <v>4467</v>
      </c>
      <c r="F353" s="3237" t="s">
        <v>3662</v>
      </c>
      <c r="G353" s="3237" t="s">
        <v>3221</v>
      </c>
      <c r="H353" s="3237" t="s">
        <v>4464</v>
      </c>
      <c r="I353" s="3236">
        <v>53.1</v>
      </c>
    </row>
    <row r="354" spans="1:9" ht="11.25" hidden="1" customHeight="1" x14ac:dyDescent="0.2">
      <c r="A354" s="3237" t="s">
        <v>4466</v>
      </c>
      <c r="B354" s="3237" t="s">
        <v>3591</v>
      </c>
      <c r="C354" s="3237" t="s">
        <v>4461</v>
      </c>
      <c r="D354" s="3237" t="s">
        <v>4462</v>
      </c>
      <c r="E354" s="3237" t="s">
        <v>4467</v>
      </c>
      <c r="F354" s="3237" t="s">
        <v>3662</v>
      </c>
      <c r="G354" s="3237" t="s">
        <v>3221</v>
      </c>
      <c r="H354" s="3237" t="s">
        <v>4464</v>
      </c>
      <c r="I354" s="3236">
        <v>53.1</v>
      </c>
    </row>
    <row r="355" spans="1:9" ht="11.25" hidden="1" customHeight="1" x14ac:dyDescent="0.2">
      <c r="A355" s="3237" t="s">
        <v>4466</v>
      </c>
      <c r="B355" s="3237" t="s">
        <v>3592</v>
      </c>
      <c r="C355" s="3237" t="s">
        <v>4461</v>
      </c>
      <c r="D355" s="3237" t="s">
        <v>4462</v>
      </c>
      <c r="E355" s="3237" t="s">
        <v>4467</v>
      </c>
      <c r="F355" s="3237" t="s">
        <v>3662</v>
      </c>
      <c r="G355" s="3237" t="s">
        <v>3221</v>
      </c>
      <c r="H355" s="3237" t="s">
        <v>4464</v>
      </c>
      <c r="I355" s="3236">
        <v>53.1</v>
      </c>
    </row>
    <row r="356" spans="1:9" ht="11.25" hidden="1" customHeight="1" x14ac:dyDescent="0.2">
      <c r="A356" s="3237" t="s">
        <v>4466</v>
      </c>
      <c r="B356" s="3237" t="s">
        <v>3593</v>
      </c>
      <c r="C356" s="3237" t="s">
        <v>4461</v>
      </c>
      <c r="D356" s="3237" t="s">
        <v>4462</v>
      </c>
      <c r="E356" s="3237" t="s">
        <v>4467</v>
      </c>
      <c r="F356" s="3237" t="s">
        <v>3662</v>
      </c>
      <c r="G356" s="3237" t="s">
        <v>3221</v>
      </c>
      <c r="H356" s="3237" t="s">
        <v>4464</v>
      </c>
      <c r="I356" s="3236">
        <v>53.1</v>
      </c>
    </row>
    <row r="357" spans="1:9" ht="11.25" hidden="1" customHeight="1" x14ac:dyDescent="0.2">
      <c r="A357" s="3237" t="s">
        <v>4466</v>
      </c>
      <c r="B357" s="3237" t="s">
        <v>3594</v>
      </c>
      <c r="C357" s="3237" t="s">
        <v>4461</v>
      </c>
      <c r="D357" s="3237" t="s">
        <v>4462</v>
      </c>
      <c r="E357" s="3237" t="s">
        <v>4467</v>
      </c>
      <c r="F357" s="3237" t="s">
        <v>3662</v>
      </c>
      <c r="G357" s="3237" t="s">
        <v>3221</v>
      </c>
      <c r="H357" s="3237" t="s">
        <v>4464</v>
      </c>
      <c r="I357" s="3236">
        <v>53.1</v>
      </c>
    </row>
    <row r="358" spans="1:9" ht="11.25" hidden="1" customHeight="1" x14ac:dyDescent="0.2">
      <c r="A358" s="3237" t="s">
        <v>4466</v>
      </c>
      <c r="B358" s="3237" t="s">
        <v>3595</v>
      </c>
      <c r="C358" s="3237" t="s">
        <v>4461</v>
      </c>
      <c r="D358" s="3237" t="s">
        <v>4462</v>
      </c>
      <c r="E358" s="3237" t="s">
        <v>4467</v>
      </c>
      <c r="F358" s="3237" t="s">
        <v>3662</v>
      </c>
      <c r="G358" s="3237" t="s">
        <v>3221</v>
      </c>
      <c r="H358" s="3237" t="s">
        <v>4464</v>
      </c>
      <c r="I358" s="3236">
        <v>53.1</v>
      </c>
    </row>
    <row r="359" spans="1:9" ht="11.25" hidden="1" customHeight="1" x14ac:dyDescent="0.2">
      <c r="A359" s="3237" t="s">
        <v>4466</v>
      </c>
      <c r="B359" s="3237" t="s">
        <v>3596</v>
      </c>
      <c r="C359" s="3237" t="s">
        <v>4461</v>
      </c>
      <c r="D359" s="3237" t="s">
        <v>4462</v>
      </c>
      <c r="E359" s="3237" t="s">
        <v>4467</v>
      </c>
      <c r="F359" s="3237" t="s">
        <v>3662</v>
      </c>
      <c r="G359" s="3237" t="s">
        <v>3221</v>
      </c>
      <c r="H359" s="3237" t="s">
        <v>4464</v>
      </c>
      <c r="I359" s="3236">
        <v>53.1</v>
      </c>
    </row>
    <row r="360" spans="1:9" ht="11.25" hidden="1" customHeight="1" x14ac:dyDescent="0.2">
      <c r="A360" s="3237" t="s">
        <v>4466</v>
      </c>
      <c r="B360" s="3237" t="s">
        <v>3597</v>
      </c>
      <c r="C360" s="3237" t="s">
        <v>4461</v>
      </c>
      <c r="D360" s="3237" t="s">
        <v>4462</v>
      </c>
      <c r="E360" s="3237" t="s">
        <v>4467</v>
      </c>
      <c r="F360" s="3237" t="s">
        <v>3662</v>
      </c>
      <c r="G360" s="3237" t="s">
        <v>3221</v>
      </c>
      <c r="H360" s="3237" t="s">
        <v>4464</v>
      </c>
      <c r="I360" s="3236">
        <v>53.1</v>
      </c>
    </row>
    <row r="361" spans="1:9" ht="11.25" hidden="1" customHeight="1" x14ac:dyDescent="0.2">
      <c r="A361" s="3237" t="s">
        <v>4466</v>
      </c>
      <c r="B361" s="3237" t="s">
        <v>3598</v>
      </c>
      <c r="C361" s="3237" t="s">
        <v>4461</v>
      </c>
      <c r="D361" s="3237" t="s">
        <v>4462</v>
      </c>
      <c r="E361" s="3237" t="s">
        <v>4467</v>
      </c>
      <c r="F361" s="3237" t="s">
        <v>3662</v>
      </c>
      <c r="G361" s="3237" t="s">
        <v>3221</v>
      </c>
      <c r="H361" s="3237" t="s">
        <v>4464</v>
      </c>
      <c r="I361" s="3236">
        <v>53.1</v>
      </c>
    </row>
    <row r="362" spans="1:9" ht="11.25" hidden="1" customHeight="1" x14ac:dyDescent="0.2">
      <c r="A362" s="3237" t="s">
        <v>4466</v>
      </c>
      <c r="B362" s="3237" t="s">
        <v>3599</v>
      </c>
      <c r="C362" s="3237" t="s">
        <v>4461</v>
      </c>
      <c r="D362" s="3237" t="s">
        <v>4462</v>
      </c>
      <c r="E362" s="3237" t="s">
        <v>4467</v>
      </c>
      <c r="F362" s="3237" t="s">
        <v>3662</v>
      </c>
      <c r="G362" s="3237" t="s">
        <v>3221</v>
      </c>
      <c r="H362" s="3237" t="s">
        <v>4464</v>
      </c>
      <c r="I362" s="3236">
        <v>53.1</v>
      </c>
    </row>
    <row r="363" spans="1:9" ht="11.25" hidden="1" customHeight="1" x14ac:dyDescent="0.2">
      <c r="A363" s="3237" t="s">
        <v>4466</v>
      </c>
      <c r="B363" s="3237" t="s">
        <v>3600</v>
      </c>
      <c r="C363" s="3237" t="s">
        <v>4461</v>
      </c>
      <c r="D363" s="3237" t="s">
        <v>4462</v>
      </c>
      <c r="E363" s="3237" t="s">
        <v>4467</v>
      </c>
      <c r="F363" s="3237" t="s">
        <v>3662</v>
      </c>
      <c r="G363" s="3237" t="s">
        <v>3221</v>
      </c>
      <c r="H363" s="3237" t="s">
        <v>4464</v>
      </c>
      <c r="I363" s="3236">
        <v>53.1</v>
      </c>
    </row>
    <row r="364" spans="1:9" ht="11.25" hidden="1" customHeight="1" x14ac:dyDescent="0.2">
      <c r="A364" s="3237" t="s">
        <v>4466</v>
      </c>
      <c r="B364" s="3237" t="s">
        <v>3601</v>
      </c>
      <c r="C364" s="3237" t="s">
        <v>4461</v>
      </c>
      <c r="D364" s="3237" t="s">
        <v>4462</v>
      </c>
      <c r="E364" s="3237" t="s">
        <v>4467</v>
      </c>
      <c r="F364" s="3237" t="s">
        <v>3662</v>
      </c>
      <c r="G364" s="3237" t="s">
        <v>3221</v>
      </c>
      <c r="H364" s="3237" t="s">
        <v>4464</v>
      </c>
      <c r="I364" s="3236">
        <v>53.1</v>
      </c>
    </row>
    <row r="365" spans="1:9" ht="11.25" hidden="1" customHeight="1" x14ac:dyDescent="0.2">
      <c r="A365" s="3237" t="s">
        <v>4466</v>
      </c>
      <c r="B365" s="3237" t="s">
        <v>3602</v>
      </c>
      <c r="C365" s="3237" t="s">
        <v>4461</v>
      </c>
      <c r="D365" s="3237" t="s">
        <v>4462</v>
      </c>
      <c r="E365" s="3237" t="s">
        <v>4467</v>
      </c>
      <c r="F365" s="3237" t="s">
        <v>3662</v>
      </c>
      <c r="G365" s="3237" t="s">
        <v>3221</v>
      </c>
      <c r="H365" s="3237" t="s">
        <v>4464</v>
      </c>
      <c r="I365" s="3236">
        <v>53.1</v>
      </c>
    </row>
    <row r="366" spans="1:9" ht="11.25" hidden="1" customHeight="1" x14ac:dyDescent="0.2">
      <c r="A366" s="3237" t="s">
        <v>4466</v>
      </c>
      <c r="B366" s="3237" t="s">
        <v>3603</v>
      </c>
      <c r="C366" s="3237" t="s">
        <v>4461</v>
      </c>
      <c r="D366" s="3237" t="s">
        <v>4462</v>
      </c>
      <c r="E366" s="3237" t="s">
        <v>4467</v>
      </c>
      <c r="F366" s="3237" t="s">
        <v>3662</v>
      </c>
      <c r="G366" s="3237" t="s">
        <v>3221</v>
      </c>
      <c r="H366" s="3237" t="s">
        <v>4464</v>
      </c>
      <c r="I366" s="3236">
        <v>53.1</v>
      </c>
    </row>
    <row r="367" spans="1:9" ht="11.25" hidden="1" customHeight="1" x14ac:dyDescent="0.2">
      <c r="A367" s="3237" t="s">
        <v>4466</v>
      </c>
      <c r="B367" s="3237" t="s">
        <v>3604</v>
      </c>
      <c r="C367" s="3237" t="s">
        <v>4461</v>
      </c>
      <c r="D367" s="3237" t="s">
        <v>4462</v>
      </c>
      <c r="E367" s="3237" t="s">
        <v>4467</v>
      </c>
      <c r="F367" s="3237" t="s">
        <v>3662</v>
      </c>
      <c r="G367" s="3237" t="s">
        <v>3221</v>
      </c>
      <c r="H367" s="3237" t="s">
        <v>4464</v>
      </c>
      <c r="I367" s="3236">
        <v>53.1</v>
      </c>
    </row>
    <row r="368" spans="1:9" ht="11.25" hidden="1" customHeight="1" x14ac:dyDescent="0.2">
      <c r="A368" s="3237" t="s">
        <v>4466</v>
      </c>
      <c r="B368" s="3237" t="s">
        <v>3605</v>
      </c>
      <c r="C368" s="3237" t="s">
        <v>4461</v>
      </c>
      <c r="D368" s="3237" t="s">
        <v>4462</v>
      </c>
      <c r="E368" s="3237" t="s">
        <v>4467</v>
      </c>
      <c r="F368" s="3237" t="s">
        <v>3662</v>
      </c>
      <c r="G368" s="3237" t="s">
        <v>3221</v>
      </c>
      <c r="H368" s="3237" t="s">
        <v>4464</v>
      </c>
      <c r="I368" s="3236">
        <v>53.1</v>
      </c>
    </row>
    <row r="369" spans="1:9" ht="11.25" hidden="1" customHeight="1" x14ac:dyDescent="0.2">
      <c r="A369" s="3237" t="s">
        <v>4466</v>
      </c>
      <c r="B369" s="3237" t="s">
        <v>3606</v>
      </c>
      <c r="C369" s="3237" t="s">
        <v>4461</v>
      </c>
      <c r="D369" s="3237" t="s">
        <v>4462</v>
      </c>
      <c r="E369" s="3237" t="s">
        <v>4467</v>
      </c>
      <c r="F369" s="3237" t="s">
        <v>3662</v>
      </c>
      <c r="G369" s="3237" t="s">
        <v>3221</v>
      </c>
      <c r="H369" s="3237" t="s">
        <v>4464</v>
      </c>
      <c r="I369" s="3236">
        <v>53.1</v>
      </c>
    </row>
    <row r="370" spans="1:9" ht="11.25" hidden="1" customHeight="1" x14ac:dyDescent="0.2">
      <c r="A370" s="3237" t="s">
        <v>4466</v>
      </c>
      <c r="B370" s="3237" t="s">
        <v>3607</v>
      </c>
      <c r="C370" s="3237" t="s">
        <v>4461</v>
      </c>
      <c r="D370" s="3237" t="s">
        <v>4462</v>
      </c>
      <c r="E370" s="3237" t="s">
        <v>4467</v>
      </c>
      <c r="F370" s="3237" t="s">
        <v>3662</v>
      </c>
      <c r="G370" s="3237" t="s">
        <v>3221</v>
      </c>
      <c r="H370" s="3237" t="s">
        <v>4464</v>
      </c>
      <c r="I370" s="3236">
        <v>53.1</v>
      </c>
    </row>
    <row r="371" spans="1:9" ht="11.25" hidden="1" customHeight="1" x14ac:dyDescent="0.2">
      <c r="A371" s="3237" t="s">
        <v>4466</v>
      </c>
      <c r="B371" s="3237" t="s">
        <v>3608</v>
      </c>
      <c r="C371" s="3237" t="s">
        <v>4461</v>
      </c>
      <c r="D371" s="3237" t="s">
        <v>4462</v>
      </c>
      <c r="E371" s="3237" t="s">
        <v>4467</v>
      </c>
      <c r="F371" s="3237" t="s">
        <v>3662</v>
      </c>
      <c r="G371" s="3237" t="s">
        <v>3221</v>
      </c>
      <c r="H371" s="3237" t="s">
        <v>4464</v>
      </c>
      <c r="I371" s="3236">
        <v>53.1</v>
      </c>
    </row>
    <row r="372" spans="1:9" ht="11.25" hidden="1" customHeight="1" x14ac:dyDescent="0.2">
      <c r="A372" s="3237" t="s">
        <v>4466</v>
      </c>
      <c r="B372" s="3237" t="s">
        <v>3609</v>
      </c>
      <c r="C372" s="3237" t="s">
        <v>4461</v>
      </c>
      <c r="D372" s="3237" t="s">
        <v>4462</v>
      </c>
      <c r="E372" s="3237" t="s">
        <v>4467</v>
      </c>
      <c r="F372" s="3237" t="s">
        <v>3662</v>
      </c>
      <c r="G372" s="3237" t="s">
        <v>3221</v>
      </c>
      <c r="H372" s="3237" t="s">
        <v>4464</v>
      </c>
      <c r="I372" s="3236">
        <v>53.1</v>
      </c>
    </row>
    <row r="373" spans="1:9" ht="11.25" hidden="1" customHeight="1" x14ac:dyDescent="0.2">
      <c r="A373" s="3237" t="s">
        <v>4466</v>
      </c>
      <c r="B373" s="3237" t="s">
        <v>3610</v>
      </c>
      <c r="C373" s="3237" t="s">
        <v>4461</v>
      </c>
      <c r="D373" s="3237" t="s">
        <v>4462</v>
      </c>
      <c r="E373" s="3237" t="s">
        <v>4467</v>
      </c>
      <c r="F373" s="3237" t="s">
        <v>3662</v>
      </c>
      <c r="G373" s="3237" t="s">
        <v>3221</v>
      </c>
      <c r="H373" s="3237" t="s">
        <v>4464</v>
      </c>
      <c r="I373" s="3236">
        <v>53.1</v>
      </c>
    </row>
    <row r="374" spans="1:9" ht="11.25" hidden="1" customHeight="1" x14ac:dyDescent="0.2">
      <c r="A374" s="3237" t="s">
        <v>4466</v>
      </c>
      <c r="B374" s="3237" t="s">
        <v>3611</v>
      </c>
      <c r="C374" s="3237" t="s">
        <v>4461</v>
      </c>
      <c r="D374" s="3237" t="s">
        <v>4462</v>
      </c>
      <c r="E374" s="3237" t="s">
        <v>4467</v>
      </c>
      <c r="F374" s="3237" t="s">
        <v>3662</v>
      </c>
      <c r="G374" s="3237" t="s">
        <v>3221</v>
      </c>
      <c r="H374" s="3237" t="s">
        <v>4464</v>
      </c>
      <c r="I374" s="3236">
        <v>53.1</v>
      </c>
    </row>
    <row r="375" spans="1:9" ht="11.25" hidden="1" customHeight="1" x14ac:dyDescent="0.2">
      <c r="A375" s="3237" t="s">
        <v>4466</v>
      </c>
      <c r="B375" s="3237" t="s">
        <v>3612</v>
      </c>
      <c r="C375" s="3237" t="s">
        <v>4461</v>
      </c>
      <c r="D375" s="3237" t="s">
        <v>4462</v>
      </c>
      <c r="E375" s="3237" t="s">
        <v>4467</v>
      </c>
      <c r="F375" s="3237" t="s">
        <v>3662</v>
      </c>
      <c r="G375" s="3237" t="s">
        <v>3221</v>
      </c>
      <c r="H375" s="3237" t="s">
        <v>4464</v>
      </c>
      <c r="I375" s="3236">
        <v>53.1</v>
      </c>
    </row>
    <row r="376" spans="1:9" ht="11.25" hidden="1" customHeight="1" x14ac:dyDescent="0.2">
      <c r="A376" s="3237" t="s">
        <v>4466</v>
      </c>
      <c r="B376" s="3237" t="s">
        <v>3613</v>
      </c>
      <c r="C376" s="3237" t="s">
        <v>4461</v>
      </c>
      <c r="D376" s="3237" t="s">
        <v>4462</v>
      </c>
      <c r="E376" s="3237" t="s">
        <v>4467</v>
      </c>
      <c r="F376" s="3237" t="s">
        <v>3662</v>
      </c>
      <c r="G376" s="3237" t="s">
        <v>3221</v>
      </c>
      <c r="H376" s="3237" t="s">
        <v>4464</v>
      </c>
      <c r="I376" s="3236">
        <v>53.1</v>
      </c>
    </row>
    <row r="377" spans="1:9" ht="11.25" hidden="1" customHeight="1" x14ac:dyDescent="0.2">
      <c r="A377" s="3237" t="s">
        <v>4466</v>
      </c>
      <c r="B377" s="3237" t="s">
        <v>3614</v>
      </c>
      <c r="C377" s="3237" t="s">
        <v>4461</v>
      </c>
      <c r="D377" s="3237" t="s">
        <v>4462</v>
      </c>
      <c r="E377" s="3237" t="s">
        <v>4467</v>
      </c>
      <c r="F377" s="3237" t="s">
        <v>3662</v>
      </c>
      <c r="G377" s="3237" t="s">
        <v>3221</v>
      </c>
      <c r="H377" s="3237" t="s">
        <v>4464</v>
      </c>
      <c r="I377" s="3236">
        <v>53.1</v>
      </c>
    </row>
    <row r="378" spans="1:9" ht="11.25" hidden="1" customHeight="1" x14ac:dyDescent="0.2">
      <c r="A378" s="3237" t="s">
        <v>4466</v>
      </c>
      <c r="B378" s="3237" t="s">
        <v>3615</v>
      </c>
      <c r="C378" s="3237" t="s">
        <v>4461</v>
      </c>
      <c r="D378" s="3237" t="s">
        <v>4462</v>
      </c>
      <c r="E378" s="3237" t="s">
        <v>4467</v>
      </c>
      <c r="F378" s="3237" t="s">
        <v>3662</v>
      </c>
      <c r="G378" s="3237" t="s">
        <v>3221</v>
      </c>
      <c r="H378" s="3237" t="s">
        <v>4464</v>
      </c>
      <c r="I378" s="3236">
        <v>53.1</v>
      </c>
    </row>
    <row r="379" spans="1:9" ht="11.25" hidden="1" customHeight="1" x14ac:dyDescent="0.2">
      <c r="A379" s="3237" t="s">
        <v>4466</v>
      </c>
      <c r="B379" s="3237" t="s">
        <v>3616</v>
      </c>
      <c r="C379" s="3237" t="s">
        <v>4461</v>
      </c>
      <c r="D379" s="3237" t="s">
        <v>4462</v>
      </c>
      <c r="E379" s="3237" t="s">
        <v>4467</v>
      </c>
      <c r="F379" s="3237" t="s">
        <v>3662</v>
      </c>
      <c r="G379" s="3237" t="s">
        <v>3221</v>
      </c>
      <c r="H379" s="3237" t="s">
        <v>4464</v>
      </c>
      <c r="I379" s="3236">
        <v>53.1</v>
      </c>
    </row>
    <row r="380" spans="1:9" ht="11.25" hidden="1" customHeight="1" x14ac:dyDescent="0.2">
      <c r="A380" s="3237" t="s">
        <v>4466</v>
      </c>
      <c r="B380" s="3237" t="s">
        <v>3617</v>
      </c>
      <c r="C380" s="3237" t="s">
        <v>4461</v>
      </c>
      <c r="D380" s="3237" t="s">
        <v>4462</v>
      </c>
      <c r="E380" s="3237" t="s">
        <v>4467</v>
      </c>
      <c r="F380" s="3237" t="s">
        <v>3662</v>
      </c>
      <c r="G380" s="3237" t="s">
        <v>3221</v>
      </c>
      <c r="H380" s="3237" t="s">
        <v>4464</v>
      </c>
      <c r="I380" s="3236">
        <v>53.1</v>
      </c>
    </row>
    <row r="381" spans="1:9" ht="11.25" hidden="1" customHeight="1" x14ac:dyDescent="0.2">
      <c r="A381" s="3237" t="s">
        <v>4466</v>
      </c>
      <c r="B381" s="3237" t="s">
        <v>3618</v>
      </c>
      <c r="C381" s="3237" t="s">
        <v>4461</v>
      </c>
      <c r="D381" s="3237" t="s">
        <v>4462</v>
      </c>
      <c r="E381" s="3237" t="s">
        <v>4467</v>
      </c>
      <c r="F381" s="3237" t="s">
        <v>3662</v>
      </c>
      <c r="G381" s="3237" t="s">
        <v>3221</v>
      </c>
      <c r="H381" s="3237" t="s">
        <v>4464</v>
      </c>
      <c r="I381" s="3236">
        <v>53.1</v>
      </c>
    </row>
    <row r="382" spans="1:9" ht="11.25" hidden="1" customHeight="1" x14ac:dyDescent="0.2">
      <c r="A382" s="3237" t="s">
        <v>4466</v>
      </c>
      <c r="B382" s="3237" t="s">
        <v>3619</v>
      </c>
      <c r="C382" s="3237" t="s">
        <v>4461</v>
      </c>
      <c r="D382" s="3237" t="s">
        <v>4462</v>
      </c>
      <c r="E382" s="3237" t="s">
        <v>4467</v>
      </c>
      <c r="F382" s="3237" t="s">
        <v>3662</v>
      </c>
      <c r="G382" s="3237" t="s">
        <v>3221</v>
      </c>
      <c r="H382" s="3237" t="s">
        <v>4464</v>
      </c>
      <c r="I382" s="3236">
        <v>53.1</v>
      </c>
    </row>
    <row r="383" spans="1:9" ht="11.25" hidden="1" customHeight="1" x14ac:dyDescent="0.2">
      <c r="A383" s="3237" t="s">
        <v>4466</v>
      </c>
      <c r="B383" s="3237" t="s">
        <v>3620</v>
      </c>
      <c r="C383" s="3237" t="s">
        <v>4461</v>
      </c>
      <c r="D383" s="3237" t="s">
        <v>4462</v>
      </c>
      <c r="E383" s="3237" t="s">
        <v>4467</v>
      </c>
      <c r="F383" s="3237" t="s">
        <v>3662</v>
      </c>
      <c r="G383" s="3237" t="s">
        <v>3221</v>
      </c>
      <c r="H383" s="3237" t="s">
        <v>4464</v>
      </c>
      <c r="I383" s="3236">
        <v>53.1</v>
      </c>
    </row>
    <row r="384" spans="1:9" ht="11.25" hidden="1" customHeight="1" x14ac:dyDescent="0.2">
      <c r="A384" s="3237" t="s">
        <v>4466</v>
      </c>
      <c r="B384" s="3237" t="s">
        <v>3621</v>
      </c>
      <c r="C384" s="3237" t="s">
        <v>4461</v>
      </c>
      <c r="D384" s="3237" t="s">
        <v>4462</v>
      </c>
      <c r="E384" s="3237" t="s">
        <v>4467</v>
      </c>
      <c r="F384" s="3237" t="s">
        <v>3662</v>
      </c>
      <c r="G384" s="3237" t="s">
        <v>3221</v>
      </c>
      <c r="H384" s="3237" t="s">
        <v>4464</v>
      </c>
      <c r="I384" s="3236">
        <v>53.1</v>
      </c>
    </row>
    <row r="385" spans="1:9" ht="11.25" hidden="1" customHeight="1" x14ac:dyDescent="0.2">
      <c r="A385" s="3237" t="s">
        <v>4466</v>
      </c>
      <c r="B385" s="3237" t="s">
        <v>3622</v>
      </c>
      <c r="C385" s="3237" t="s">
        <v>4461</v>
      </c>
      <c r="D385" s="3237" t="s">
        <v>4462</v>
      </c>
      <c r="E385" s="3237" t="s">
        <v>4467</v>
      </c>
      <c r="F385" s="3237" t="s">
        <v>3662</v>
      </c>
      <c r="G385" s="3237" t="s">
        <v>3221</v>
      </c>
      <c r="H385" s="3237" t="s">
        <v>4464</v>
      </c>
      <c r="I385" s="3236">
        <v>53.1</v>
      </c>
    </row>
    <row r="386" spans="1:9" ht="11.25" hidden="1" customHeight="1" x14ac:dyDescent="0.2">
      <c r="A386" s="3237" t="s">
        <v>4466</v>
      </c>
      <c r="B386" s="3237" t="s">
        <v>3623</v>
      </c>
      <c r="C386" s="3237" t="s">
        <v>4461</v>
      </c>
      <c r="D386" s="3237" t="s">
        <v>4462</v>
      </c>
      <c r="E386" s="3237" t="s">
        <v>4467</v>
      </c>
      <c r="F386" s="3237" t="s">
        <v>3663</v>
      </c>
      <c r="G386" s="3237" t="s">
        <v>3224</v>
      </c>
      <c r="H386" s="3237" t="s">
        <v>4464</v>
      </c>
      <c r="I386" s="3236">
        <v>59.26</v>
      </c>
    </row>
    <row r="387" spans="1:9" ht="11.25" hidden="1" customHeight="1" x14ac:dyDescent="0.2">
      <c r="A387" s="3237" t="s">
        <v>4466</v>
      </c>
      <c r="B387" s="3237" t="s">
        <v>3624</v>
      </c>
      <c r="C387" s="3237" t="s">
        <v>4461</v>
      </c>
      <c r="D387" s="3237" t="s">
        <v>4462</v>
      </c>
      <c r="E387" s="3237" t="s">
        <v>4467</v>
      </c>
      <c r="F387" s="3237" t="s">
        <v>3663</v>
      </c>
      <c r="G387" s="3237" t="s">
        <v>3224</v>
      </c>
      <c r="H387" s="3237" t="s">
        <v>4464</v>
      </c>
      <c r="I387" s="3236">
        <v>132.02000000000001</v>
      </c>
    </row>
    <row r="388" spans="1:9" ht="11.25" hidden="1" customHeight="1" x14ac:dyDescent="0.2">
      <c r="A388" s="3237" t="s">
        <v>4466</v>
      </c>
      <c r="B388" s="3237" t="s">
        <v>3625</v>
      </c>
      <c r="C388" s="3237" t="s">
        <v>4461</v>
      </c>
      <c r="D388" s="3237" t="s">
        <v>4462</v>
      </c>
      <c r="E388" s="3237" t="s">
        <v>4467</v>
      </c>
      <c r="F388" s="3237" t="s">
        <v>3663</v>
      </c>
      <c r="G388" s="3237" t="s">
        <v>3224</v>
      </c>
      <c r="H388" s="3237" t="s">
        <v>4464</v>
      </c>
      <c r="I388" s="3236">
        <v>44.26</v>
      </c>
    </row>
    <row r="389" spans="1:9" ht="11.25" hidden="1" customHeight="1" x14ac:dyDescent="0.2">
      <c r="A389" s="3237" t="s">
        <v>4466</v>
      </c>
      <c r="B389" s="3237" t="s">
        <v>3626</v>
      </c>
      <c r="C389" s="3237" t="s">
        <v>4461</v>
      </c>
      <c r="D389" s="3237" t="s">
        <v>4462</v>
      </c>
      <c r="E389" s="3237" t="s">
        <v>4467</v>
      </c>
      <c r="F389" s="3237" t="s">
        <v>3663</v>
      </c>
      <c r="G389" s="3237" t="s">
        <v>3224</v>
      </c>
      <c r="H389" s="3237" t="s">
        <v>4464</v>
      </c>
      <c r="I389" s="3236">
        <v>46.9</v>
      </c>
    </row>
    <row r="390" spans="1:9" ht="11.25" hidden="1" customHeight="1" x14ac:dyDescent="0.2">
      <c r="A390" s="3237" t="s">
        <v>4466</v>
      </c>
      <c r="B390" s="3237" t="s">
        <v>3627</v>
      </c>
      <c r="C390" s="3237" t="s">
        <v>4461</v>
      </c>
      <c r="D390" s="3237" t="s">
        <v>4462</v>
      </c>
      <c r="E390" s="3237" t="s">
        <v>4467</v>
      </c>
      <c r="F390" s="3237" t="s">
        <v>3663</v>
      </c>
      <c r="G390" s="3237" t="s">
        <v>3224</v>
      </c>
      <c r="H390" s="3237" t="s">
        <v>4464</v>
      </c>
      <c r="I390" s="3236">
        <v>45.15</v>
      </c>
    </row>
    <row r="391" spans="1:9" ht="11.25" hidden="1" customHeight="1" x14ac:dyDescent="0.2">
      <c r="A391" s="3237" t="s">
        <v>4466</v>
      </c>
      <c r="B391" s="3237" t="s">
        <v>3628</v>
      </c>
      <c r="C391" s="3237" t="s">
        <v>4461</v>
      </c>
      <c r="D391" s="3237" t="s">
        <v>4462</v>
      </c>
      <c r="E391" s="3237" t="s">
        <v>4467</v>
      </c>
      <c r="F391" s="3237" t="s">
        <v>3663</v>
      </c>
      <c r="G391" s="3237" t="s">
        <v>3224</v>
      </c>
      <c r="H391" s="3237" t="s">
        <v>4464</v>
      </c>
      <c r="I391" s="3236">
        <v>120.17</v>
      </c>
    </row>
    <row r="392" spans="1:9" ht="11.25" hidden="1" customHeight="1" x14ac:dyDescent="0.2">
      <c r="A392" s="3237" t="s">
        <v>4466</v>
      </c>
      <c r="B392" s="3237" t="s">
        <v>3629</v>
      </c>
      <c r="C392" s="3237" t="s">
        <v>4461</v>
      </c>
      <c r="D392" s="3237" t="s">
        <v>4462</v>
      </c>
      <c r="E392" s="3237" t="s">
        <v>4467</v>
      </c>
      <c r="F392" s="3237" t="s">
        <v>3663</v>
      </c>
      <c r="G392" s="3237" t="s">
        <v>3224</v>
      </c>
      <c r="H392" s="3237" t="s">
        <v>4464</v>
      </c>
      <c r="I392" s="3236">
        <v>97.45</v>
      </c>
    </row>
    <row r="393" spans="1:9" ht="11.25" hidden="1" customHeight="1" x14ac:dyDescent="0.2">
      <c r="A393" s="3237" t="s">
        <v>4466</v>
      </c>
      <c r="B393" s="3237" t="s">
        <v>3630</v>
      </c>
      <c r="C393" s="3237" t="s">
        <v>4461</v>
      </c>
      <c r="D393" s="3237" t="s">
        <v>4462</v>
      </c>
      <c r="E393" s="3237" t="s">
        <v>4467</v>
      </c>
      <c r="F393" s="3237" t="s">
        <v>3664</v>
      </c>
      <c r="G393" s="3237" t="s">
        <v>3224</v>
      </c>
      <c r="H393" s="3237" t="s">
        <v>4468</v>
      </c>
      <c r="I393" s="3236">
        <v>1786.53</v>
      </c>
    </row>
    <row r="394" spans="1:9" ht="11.25" hidden="1" customHeight="1" x14ac:dyDescent="0.2">
      <c r="A394" s="3237" t="s">
        <v>4466</v>
      </c>
      <c r="B394" s="3237" t="s">
        <v>3631</v>
      </c>
      <c r="C394" s="3237" t="s">
        <v>4461</v>
      </c>
      <c r="D394" s="3237" t="s">
        <v>4462</v>
      </c>
      <c r="E394" s="3237" t="s">
        <v>4467</v>
      </c>
      <c r="F394" s="3237" t="s">
        <v>3663</v>
      </c>
      <c r="G394" s="3237" t="s">
        <v>3224</v>
      </c>
      <c r="H394" s="3237" t="s">
        <v>4464</v>
      </c>
      <c r="I394" s="3236">
        <v>57.21</v>
      </c>
    </row>
    <row r="395" spans="1:9" ht="11.25" hidden="1" customHeight="1" x14ac:dyDescent="0.2">
      <c r="A395" s="3237" t="s">
        <v>4466</v>
      </c>
      <c r="B395" s="3237" t="s">
        <v>3632</v>
      </c>
      <c r="C395" s="3237" t="s">
        <v>4461</v>
      </c>
      <c r="D395" s="3237" t="s">
        <v>4462</v>
      </c>
      <c r="E395" s="3237" t="s">
        <v>4467</v>
      </c>
      <c r="F395" s="3237" t="s">
        <v>3663</v>
      </c>
      <c r="G395" s="3237" t="s">
        <v>3224</v>
      </c>
      <c r="H395" s="3237" t="s">
        <v>4464</v>
      </c>
      <c r="I395" s="3236">
        <v>87.03</v>
      </c>
    </row>
    <row r="396" spans="1:9" ht="11.25" hidden="1" customHeight="1" x14ac:dyDescent="0.2">
      <c r="A396" s="3237" t="s">
        <v>4466</v>
      </c>
      <c r="B396" s="3237" t="s">
        <v>3633</v>
      </c>
      <c r="C396" s="3237" t="s">
        <v>4461</v>
      </c>
      <c r="D396" s="3237" t="s">
        <v>4462</v>
      </c>
      <c r="E396" s="3237" t="s">
        <v>4467</v>
      </c>
      <c r="F396" s="3237" t="s">
        <v>3663</v>
      </c>
      <c r="G396" s="3237" t="s">
        <v>3224</v>
      </c>
      <c r="H396" s="3237" t="s">
        <v>4464</v>
      </c>
      <c r="I396" s="3236">
        <v>123.61</v>
      </c>
    </row>
    <row r="397" spans="1:9" ht="11.25" hidden="1" customHeight="1" x14ac:dyDescent="0.2">
      <c r="A397" s="3237" t="s">
        <v>4466</v>
      </c>
      <c r="B397" s="3237" t="s">
        <v>3634</v>
      </c>
      <c r="C397" s="3237" t="s">
        <v>4461</v>
      </c>
      <c r="D397" s="3237" t="s">
        <v>4462</v>
      </c>
      <c r="E397" s="3237" t="s">
        <v>4467</v>
      </c>
      <c r="F397" s="3237" t="s">
        <v>3663</v>
      </c>
      <c r="G397" s="3237" t="s">
        <v>3224</v>
      </c>
      <c r="H397" s="3237" t="s">
        <v>4464</v>
      </c>
      <c r="I397" s="3236">
        <v>85.91</v>
      </c>
    </row>
    <row r="398" spans="1:9" ht="11.25" hidden="1" customHeight="1" x14ac:dyDescent="0.2">
      <c r="A398" s="3237" t="s">
        <v>4466</v>
      </c>
      <c r="B398" s="3237" t="s">
        <v>3635</v>
      </c>
      <c r="C398" s="3237" t="s">
        <v>4461</v>
      </c>
      <c r="D398" s="3237" t="s">
        <v>4462</v>
      </c>
      <c r="E398" s="3237" t="s">
        <v>4467</v>
      </c>
      <c r="F398" s="3237" t="s">
        <v>3663</v>
      </c>
      <c r="G398" s="3237" t="s">
        <v>3224</v>
      </c>
      <c r="H398" s="3237" t="s">
        <v>4464</v>
      </c>
      <c r="I398" s="3236">
        <v>58.81</v>
      </c>
    </row>
    <row r="399" spans="1:9" ht="11.25" hidden="1" customHeight="1" x14ac:dyDescent="0.2">
      <c r="A399" s="3237" t="s">
        <v>4466</v>
      </c>
      <c r="B399" s="3237" t="s">
        <v>3636</v>
      </c>
      <c r="C399" s="3237" t="s">
        <v>4461</v>
      </c>
      <c r="D399" s="3237" t="s">
        <v>4462</v>
      </c>
      <c r="E399" s="3237" t="s">
        <v>4467</v>
      </c>
      <c r="F399" s="3237" t="s">
        <v>3663</v>
      </c>
      <c r="G399" s="3237" t="s">
        <v>3224</v>
      </c>
      <c r="H399" s="3237" t="s">
        <v>4464</v>
      </c>
      <c r="I399" s="3236">
        <v>88.45</v>
      </c>
    </row>
    <row r="400" spans="1:9" ht="11.25" hidden="1" customHeight="1" x14ac:dyDescent="0.2">
      <c r="A400" s="3237" t="s">
        <v>4466</v>
      </c>
      <c r="B400" s="3237" t="s">
        <v>3637</v>
      </c>
      <c r="C400" s="3237" t="s">
        <v>4461</v>
      </c>
      <c r="D400" s="3237" t="s">
        <v>4462</v>
      </c>
      <c r="E400" s="3237" t="s">
        <v>4467</v>
      </c>
      <c r="F400" s="3237" t="s">
        <v>3663</v>
      </c>
      <c r="G400" s="3237" t="s">
        <v>3224</v>
      </c>
      <c r="H400" s="3237" t="s">
        <v>4464</v>
      </c>
      <c r="I400" s="3236">
        <v>127.25</v>
      </c>
    </row>
    <row r="401" spans="1:9" ht="11.25" hidden="1" customHeight="1" x14ac:dyDescent="0.2">
      <c r="A401" s="3237" t="s">
        <v>4466</v>
      </c>
      <c r="B401" s="3237" t="s">
        <v>3638</v>
      </c>
      <c r="C401" s="3237" t="s">
        <v>4461</v>
      </c>
      <c r="D401" s="3237" t="s">
        <v>4462</v>
      </c>
      <c r="E401" s="3237" t="s">
        <v>4467</v>
      </c>
      <c r="F401" s="3237" t="s">
        <v>3663</v>
      </c>
      <c r="G401" s="3237" t="s">
        <v>3224</v>
      </c>
      <c r="H401" s="3237" t="s">
        <v>4464</v>
      </c>
      <c r="I401" s="3236">
        <v>210.49</v>
      </c>
    </row>
    <row r="402" spans="1:9" ht="11.25" hidden="1" customHeight="1" x14ac:dyDescent="0.2">
      <c r="A402" s="3237" t="s">
        <v>4466</v>
      </c>
      <c r="B402" s="3237" t="s">
        <v>3639</v>
      </c>
      <c r="C402" s="3237" t="s">
        <v>4461</v>
      </c>
      <c r="D402" s="3237" t="s">
        <v>4462</v>
      </c>
      <c r="E402" s="3237" t="s">
        <v>4467</v>
      </c>
      <c r="F402" s="3237" t="s">
        <v>3665</v>
      </c>
      <c r="G402" s="3237" t="s">
        <v>3224</v>
      </c>
      <c r="H402" s="3237" t="s">
        <v>4464</v>
      </c>
      <c r="I402" s="3236">
        <v>3840.45</v>
      </c>
    </row>
    <row r="403" spans="1:9" ht="11.25" hidden="1" customHeight="1" x14ac:dyDescent="0.2">
      <c r="A403" s="3237" t="s">
        <v>4466</v>
      </c>
      <c r="B403" s="3237" t="s">
        <v>3640</v>
      </c>
      <c r="C403" s="3237" t="s">
        <v>4461</v>
      </c>
      <c r="D403" s="3237" t="s">
        <v>4462</v>
      </c>
      <c r="E403" s="3237" t="s">
        <v>4467</v>
      </c>
      <c r="F403" s="3237" t="s">
        <v>3663</v>
      </c>
      <c r="G403" s="3237" t="s">
        <v>3224</v>
      </c>
      <c r="H403" s="3237" t="s">
        <v>4464</v>
      </c>
      <c r="I403" s="3236">
        <v>129.43</v>
      </c>
    </row>
    <row r="404" spans="1:9" ht="11.25" hidden="1" customHeight="1" x14ac:dyDescent="0.2">
      <c r="A404" s="3237" t="s">
        <v>4466</v>
      </c>
      <c r="B404" s="3237" t="s">
        <v>3641</v>
      </c>
      <c r="C404" s="3237" t="s">
        <v>4461</v>
      </c>
      <c r="D404" s="3237" t="s">
        <v>4462</v>
      </c>
      <c r="E404" s="3237" t="s">
        <v>4467</v>
      </c>
      <c r="F404" s="3237" t="s">
        <v>3663</v>
      </c>
      <c r="G404" s="3237" t="s">
        <v>3224</v>
      </c>
      <c r="H404" s="3237" t="s">
        <v>4464</v>
      </c>
      <c r="I404" s="3236">
        <v>51.67</v>
      </c>
    </row>
    <row r="405" spans="1:9" ht="11.25" hidden="1" customHeight="1" x14ac:dyDescent="0.2">
      <c r="A405" s="3237" t="s">
        <v>4466</v>
      </c>
      <c r="B405" s="3237" t="s">
        <v>3642</v>
      </c>
      <c r="C405" s="3237" t="s">
        <v>4461</v>
      </c>
      <c r="D405" s="3237" t="s">
        <v>4462</v>
      </c>
      <c r="E405" s="3237" t="s">
        <v>4467</v>
      </c>
      <c r="F405" s="3237" t="s">
        <v>3663</v>
      </c>
      <c r="G405" s="3237" t="s">
        <v>3224</v>
      </c>
      <c r="H405" s="3237" t="s">
        <v>4464</v>
      </c>
      <c r="I405" s="3236">
        <v>47.82</v>
      </c>
    </row>
    <row r="406" spans="1:9" ht="11.25" hidden="1" customHeight="1" x14ac:dyDescent="0.2">
      <c r="A406" s="3237" t="s">
        <v>4466</v>
      </c>
      <c r="B406" s="3237" t="s">
        <v>3643</v>
      </c>
      <c r="C406" s="3237" t="s">
        <v>4461</v>
      </c>
      <c r="D406" s="3237" t="s">
        <v>4462</v>
      </c>
      <c r="E406" s="3237" t="s">
        <v>4467</v>
      </c>
      <c r="F406" s="3237" t="s">
        <v>3663</v>
      </c>
      <c r="G406" s="3237" t="s">
        <v>3224</v>
      </c>
      <c r="H406" s="3237" t="s">
        <v>4464</v>
      </c>
      <c r="I406" s="3236">
        <v>58.24</v>
      </c>
    </row>
    <row r="407" spans="1:9" ht="11.25" hidden="1" customHeight="1" x14ac:dyDescent="0.2">
      <c r="A407" s="3237" t="s">
        <v>4466</v>
      </c>
      <c r="B407" s="3237" t="s">
        <v>3644</v>
      </c>
      <c r="C407" s="3237" t="s">
        <v>4461</v>
      </c>
      <c r="D407" s="3237" t="s">
        <v>4462</v>
      </c>
      <c r="E407" s="3237" t="s">
        <v>4467</v>
      </c>
      <c r="F407" s="3237" t="s">
        <v>3663</v>
      </c>
      <c r="G407" s="3237" t="s">
        <v>3224</v>
      </c>
      <c r="H407" s="3237" t="s">
        <v>4464</v>
      </c>
      <c r="I407" s="3236">
        <v>80</v>
      </c>
    </row>
    <row r="408" spans="1:9" ht="11.25" hidden="1" customHeight="1" x14ac:dyDescent="0.2">
      <c r="A408" s="3237" t="s">
        <v>4466</v>
      </c>
      <c r="B408" s="3237" t="s">
        <v>3645</v>
      </c>
      <c r="C408" s="3237" t="s">
        <v>4461</v>
      </c>
      <c r="D408" s="3237" t="s">
        <v>4462</v>
      </c>
      <c r="E408" s="3237" t="s">
        <v>4467</v>
      </c>
      <c r="F408" s="3237" t="s">
        <v>3663</v>
      </c>
      <c r="G408" s="3237" t="s">
        <v>3224</v>
      </c>
      <c r="H408" s="3237" t="s">
        <v>4464</v>
      </c>
      <c r="I408" s="3236">
        <v>105.57</v>
      </c>
    </row>
    <row r="409" spans="1:9" ht="11.25" hidden="1" customHeight="1" x14ac:dyDescent="0.2">
      <c r="A409" s="3237" t="s">
        <v>4466</v>
      </c>
      <c r="B409" s="3237" t="s">
        <v>3646</v>
      </c>
      <c r="C409" s="3237" t="s">
        <v>4461</v>
      </c>
      <c r="D409" s="3237" t="s">
        <v>4462</v>
      </c>
      <c r="E409" s="3237" t="s">
        <v>4467</v>
      </c>
      <c r="F409" s="3237" t="s">
        <v>3664</v>
      </c>
      <c r="G409" s="3237" t="s">
        <v>3224</v>
      </c>
      <c r="H409" s="3237" t="s">
        <v>4468</v>
      </c>
      <c r="I409" s="3236">
        <v>1514.57</v>
      </c>
    </row>
    <row r="410" spans="1:9" ht="11.25" hidden="1" customHeight="1" x14ac:dyDescent="0.2">
      <c r="A410" s="3237" t="s">
        <v>4466</v>
      </c>
      <c r="B410" s="3237" t="s">
        <v>3647</v>
      </c>
      <c r="C410" s="3237" t="s">
        <v>4461</v>
      </c>
      <c r="D410" s="3237" t="s">
        <v>4462</v>
      </c>
      <c r="E410" s="3237" t="s">
        <v>4467</v>
      </c>
      <c r="F410" s="3237" t="s">
        <v>3663</v>
      </c>
      <c r="G410" s="3237" t="s">
        <v>3224</v>
      </c>
      <c r="H410" s="3237" t="s">
        <v>4464</v>
      </c>
      <c r="I410" s="3236">
        <v>36.78</v>
      </c>
    </row>
    <row r="411" spans="1:9" ht="11.25" hidden="1" customHeight="1" x14ac:dyDescent="0.2">
      <c r="A411" s="3237" t="s">
        <v>4466</v>
      </c>
      <c r="B411" s="3237" t="s">
        <v>3648</v>
      </c>
      <c r="C411" s="3237" t="s">
        <v>4461</v>
      </c>
      <c r="D411" s="3237" t="s">
        <v>4462</v>
      </c>
      <c r="E411" s="3237" t="s">
        <v>4467</v>
      </c>
      <c r="F411" s="3237" t="s">
        <v>3663</v>
      </c>
      <c r="G411" s="3237" t="s">
        <v>3224</v>
      </c>
      <c r="H411" s="3237" t="s">
        <v>4464</v>
      </c>
      <c r="I411" s="3236">
        <v>25.34</v>
      </c>
    </row>
    <row r="412" spans="1:9" ht="11.25" hidden="1" customHeight="1" x14ac:dyDescent="0.2">
      <c r="A412" s="3237" t="s">
        <v>4466</v>
      </c>
      <c r="B412" s="3237" t="s">
        <v>3649</v>
      </c>
      <c r="C412" s="3237" t="s">
        <v>4461</v>
      </c>
      <c r="D412" s="3237" t="s">
        <v>4462</v>
      </c>
      <c r="E412" s="3237" t="s">
        <v>4467</v>
      </c>
      <c r="F412" s="3237" t="s">
        <v>3663</v>
      </c>
      <c r="G412" s="3237" t="s">
        <v>3224</v>
      </c>
      <c r="H412" s="3237" t="s">
        <v>4464</v>
      </c>
      <c r="I412" s="3236">
        <v>78.45</v>
      </c>
    </row>
    <row r="413" spans="1:9" ht="11.25" hidden="1" customHeight="1" x14ac:dyDescent="0.2">
      <c r="A413" s="3237" t="s">
        <v>4466</v>
      </c>
      <c r="B413" s="3237" t="s">
        <v>3650</v>
      </c>
      <c r="C413" s="3237" t="s">
        <v>4461</v>
      </c>
      <c r="D413" s="3237" t="s">
        <v>4462</v>
      </c>
      <c r="E413" s="3237" t="s">
        <v>4467</v>
      </c>
      <c r="F413" s="3237" t="s">
        <v>3663</v>
      </c>
      <c r="G413" s="3237" t="s">
        <v>3224</v>
      </c>
      <c r="H413" s="3237" t="s">
        <v>4464</v>
      </c>
      <c r="I413" s="3236">
        <v>125.54</v>
      </c>
    </row>
    <row r="414" spans="1:9" ht="11.25" hidden="1" customHeight="1" x14ac:dyDescent="0.2">
      <c r="A414" s="3237" t="s">
        <v>4466</v>
      </c>
      <c r="B414" s="3237" t="s">
        <v>3651</v>
      </c>
      <c r="C414" s="3237" t="s">
        <v>4461</v>
      </c>
      <c r="D414" s="3237" t="s">
        <v>4462</v>
      </c>
      <c r="E414" s="3237" t="s">
        <v>4467</v>
      </c>
      <c r="F414" s="3237" t="s">
        <v>3663</v>
      </c>
      <c r="G414" s="3237" t="s">
        <v>3224</v>
      </c>
      <c r="H414" s="3237" t="s">
        <v>4464</v>
      </c>
      <c r="I414" s="3236">
        <v>42.57</v>
      </c>
    </row>
    <row r="415" spans="1:9" ht="11.25" hidden="1" customHeight="1" x14ac:dyDescent="0.2">
      <c r="A415" s="3237" t="s">
        <v>4466</v>
      </c>
      <c r="B415" s="3237" t="s">
        <v>3652</v>
      </c>
      <c r="C415" s="3237" t="s">
        <v>4461</v>
      </c>
      <c r="D415" s="3237" t="s">
        <v>4462</v>
      </c>
      <c r="E415" s="3237" t="s">
        <v>4467</v>
      </c>
      <c r="F415" s="3237" t="s">
        <v>3663</v>
      </c>
      <c r="G415" s="3237" t="s">
        <v>3224</v>
      </c>
      <c r="H415" s="3237" t="s">
        <v>4464</v>
      </c>
      <c r="I415" s="3236">
        <v>48.96</v>
      </c>
    </row>
    <row r="416" spans="1:9" ht="11.25" hidden="1" customHeight="1" x14ac:dyDescent="0.2">
      <c r="A416" s="3237" t="s">
        <v>4466</v>
      </c>
      <c r="B416" s="3237" t="s">
        <v>3653</v>
      </c>
      <c r="C416" s="3237" t="s">
        <v>4461</v>
      </c>
      <c r="D416" s="3237" t="s">
        <v>4462</v>
      </c>
      <c r="E416" s="3237" t="s">
        <v>4467</v>
      </c>
      <c r="F416" s="3237" t="s">
        <v>3663</v>
      </c>
      <c r="G416" s="3237" t="s">
        <v>3224</v>
      </c>
      <c r="H416" s="3237" t="s">
        <v>4464</v>
      </c>
      <c r="I416" s="3236">
        <v>48.61</v>
      </c>
    </row>
    <row r="417" spans="1:9" ht="11.25" hidden="1" customHeight="1" x14ac:dyDescent="0.2">
      <c r="A417" s="3237" t="s">
        <v>4466</v>
      </c>
      <c r="B417" s="3237" t="s">
        <v>3654</v>
      </c>
      <c r="C417" s="3237" t="s">
        <v>4461</v>
      </c>
      <c r="D417" s="3237" t="s">
        <v>4462</v>
      </c>
      <c r="E417" s="3237" t="s">
        <v>4467</v>
      </c>
      <c r="F417" s="3237" t="s">
        <v>3663</v>
      </c>
      <c r="G417" s="3237" t="s">
        <v>3224</v>
      </c>
      <c r="H417" s="3237" t="s">
        <v>4464</v>
      </c>
      <c r="I417" s="3236">
        <v>97.45</v>
      </c>
    </row>
    <row r="418" spans="1:9" ht="11.25" hidden="1" customHeight="1" x14ac:dyDescent="0.2">
      <c r="A418" s="3237" t="s">
        <v>4466</v>
      </c>
      <c r="B418" s="3237" t="s">
        <v>3655</v>
      </c>
      <c r="C418" s="3237" t="s">
        <v>4461</v>
      </c>
      <c r="D418" s="3237" t="s">
        <v>4462</v>
      </c>
      <c r="E418" s="3237" t="s">
        <v>4467</v>
      </c>
      <c r="F418" s="3237" t="s">
        <v>3663</v>
      </c>
      <c r="G418" s="3237" t="s">
        <v>3224</v>
      </c>
      <c r="H418" s="3237" t="s">
        <v>4464</v>
      </c>
      <c r="I418" s="3236">
        <v>96.98</v>
      </c>
    </row>
    <row r="419" spans="1:9" ht="11.25" hidden="1" customHeight="1" x14ac:dyDescent="0.2">
      <c r="A419" s="3237" t="s">
        <v>4466</v>
      </c>
      <c r="B419" s="3237" t="s">
        <v>3656</v>
      </c>
      <c r="C419" s="3237" t="s">
        <v>4461</v>
      </c>
      <c r="D419" s="3237" t="s">
        <v>4462</v>
      </c>
      <c r="E419" s="3237" t="s">
        <v>4467</v>
      </c>
      <c r="F419" s="3237" t="s">
        <v>3664</v>
      </c>
      <c r="G419" s="3237" t="s">
        <v>3224</v>
      </c>
      <c r="H419" s="3237" t="s">
        <v>4468</v>
      </c>
      <c r="I419" s="3236">
        <v>1245.71</v>
      </c>
    </row>
    <row r="420" spans="1:9" ht="11.25" hidden="1" customHeight="1" x14ac:dyDescent="0.2">
      <c r="A420" s="3237" t="s">
        <v>4466</v>
      </c>
      <c r="B420" s="3237" t="s">
        <v>3657</v>
      </c>
      <c r="C420" s="3237" t="s">
        <v>4461</v>
      </c>
      <c r="D420" s="3237" t="s">
        <v>4462</v>
      </c>
      <c r="E420" s="3237" t="s">
        <v>4467</v>
      </c>
      <c r="F420" s="3237" t="s">
        <v>3663</v>
      </c>
      <c r="G420" s="3237" t="s">
        <v>3224</v>
      </c>
      <c r="H420" s="3237" t="s">
        <v>4464</v>
      </c>
      <c r="I420" s="3236">
        <v>132.96</v>
      </c>
    </row>
    <row r="421" spans="1:9" ht="11.25" hidden="1" customHeight="1" x14ac:dyDescent="0.2">
      <c r="A421" s="3237" t="s">
        <v>4466</v>
      </c>
      <c r="B421" s="3237" t="s">
        <v>3658</v>
      </c>
      <c r="C421" s="3237" t="s">
        <v>4461</v>
      </c>
      <c r="D421" s="3237" t="s">
        <v>4462</v>
      </c>
      <c r="E421" s="3237" t="s">
        <v>4467</v>
      </c>
      <c r="F421" s="3237" t="s">
        <v>3663</v>
      </c>
      <c r="G421" s="3237" t="s">
        <v>3224</v>
      </c>
      <c r="H421" s="3237" t="s">
        <v>4464</v>
      </c>
      <c r="I421" s="3236">
        <v>134.84</v>
      </c>
    </row>
    <row r="422" spans="1:9" ht="11.25" hidden="1" customHeight="1" x14ac:dyDescent="0.2">
      <c r="A422" s="3237" t="s">
        <v>4466</v>
      </c>
      <c r="B422" s="3237" t="s">
        <v>3659</v>
      </c>
      <c r="C422" s="3237" t="s">
        <v>4461</v>
      </c>
      <c r="D422" s="3237" t="s">
        <v>4462</v>
      </c>
      <c r="E422" s="3237" t="s">
        <v>4467</v>
      </c>
      <c r="F422" s="3237" t="s">
        <v>3663</v>
      </c>
      <c r="G422" s="3237" t="s">
        <v>3224</v>
      </c>
      <c r="H422" s="3237" t="s">
        <v>4464</v>
      </c>
      <c r="I422" s="3236">
        <v>99.51</v>
      </c>
    </row>
    <row r="423" spans="1:9" ht="11.25" hidden="1" customHeight="1" x14ac:dyDescent="0.2">
      <c r="A423" s="3237" t="s">
        <v>4466</v>
      </c>
      <c r="B423" s="3237" t="s">
        <v>3660</v>
      </c>
      <c r="C423" s="3237" t="s">
        <v>4461</v>
      </c>
      <c r="D423" s="3237" t="s">
        <v>4462</v>
      </c>
      <c r="E423" s="3237" t="s">
        <v>4467</v>
      </c>
      <c r="F423" s="3237" t="s">
        <v>3663</v>
      </c>
      <c r="G423" s="3237" t="s">
        <v>3224</v>
      </c>
      <c r="H423" s="3237" t="s">
        <v>4464</v>
      </c>
      <c r="I423" s="3236">
        <v>46.34</v>
      </c>
    </row>
    <row r="424" spans="1:9" ht="11.25" hidden="1" customHeight="1" x14ac:dyDescent="0.2">
      <c r="A424" s="3237" t="s">
        <v>4466</v>
      </c>
      <c r="B424" s="3237" t="s">
        <v>3661</v>
      </c>
      <c r="C424" s="3237" t="s">
        <v>4461</v>
      </c>
      <c r="D424" s="3237" t="s">
        <v>4462</v>
      </c>
      <c r="E424" s="3237" t="s">
        <v>4467</v>
      </c>
      <c r="F424" s="3237" t="s">
        <v>3663</v>
      </c>
      <c r="G424" s="3237" t="s">
        <v>3224</v>
      </c>
      <c r="H424" s="3237" t="s">
        <v>4464</v>
      </c>
      <c r="I424" s="3236">
        <v>10.93</v>
      </c>
    </row>
    <row r="425" spans="1:9" ht="11.25" hidden="1" customHeight="1" x14ac:dyDescent="0.2">
      <c r="A425" s="3243"/>
      <c r="B425" s="3243"/>
      <c r="C425" s="3237"/>
      <c r="D425" s="3243"/>
      <c r="E425" s="3243"/>
      <c r="F425" s="3243"/>
      <c r="G425" s="3419" t="s">
        <v>4469</v>
      </c>
      <c r="H425" s="3419"/>
      <c r="I425" s="3244">
        <f>SUM(I340:I424)</f>
        <v>13711.819999999998</v>
      </c>
    </row>
    <row r="426" spans="1:9" ht="11.25" customHeight="1" x14ac:dyDescent="0.2">
      <c r="A426" s="3237" t="s">
        <v>4470</v>
      </c>
      <c r="B426" s="3237" t="s">
        <v>3180</v>
      </c>
      <c r="C426" s="3237" t="s">
        <v>4461</v>
      </c>
      <c r="D426" s="3237" t="s">
        <v>4462</v>
      </c>
      <c r="E426" s="3237" t="s">
        <v>4471</v>
      </c>
      <c r="F426" s="3237" t="s">
        <v>3662</v>
      </c>
      <c r="G426" s="3237" t="s">
        <v>3221</v>
      </c>
      <c r="H426" s="3236" t="s">
        <v>4464</v>
      </c>
      <c r="I426" s="3236">
        <v>1389.34</v>
      </c>
    </row>
    <row r="427" spans="1:9" ht="11.25" customHeight="1" x14ac:dyDescent="0.2">
      <c r="A427" s="3237" t="s">
        <v>4470</v>
      </c>
      <c r="B427" s="3237" t="s">
        <v>3187</v>
      </c>
      <c r="C427" s="3237" t="s">
        <v>4461</v>
      </c>
      <c r="D427" s="3237" t="s">
        <v>4462</v>
      </c>
      <c r="E427" s="3237" t="s">
        <v>4471</v>
      </c>
      <c r="F427" s="3237" t="s">
        <v>3664</v>
      </c>
      <c r="G427" s="3237" t="s">
        <v>3224</v>
      </c>
      <c r="H427" s="3236" t="s">
        <v>4468</v>
      </c>
      <c r="I427" s="3236">
        <v>128.02000000000001</v>
      </c>
    </row>
    <row r="428" spans="1:9" ht="11.25" customHeight="1" x14ac:dyDescent="0.2">
      <c r="A428" s="3237" t="s">
        <v>4470</v>
      </c>
      <c r="B428" s="3237" t="s">
        <v>3188</v>
      </c>
      <c r="C428" s="3237" t="s">
        <v>4461</v>
      </c>
      <c r="D428" s="3237" t="s">
        <v>4462</v>
      </c>
      <c r="E428" s="3237" t="s">
        <v>4471</v>
      </c>
      <c r="F428" s="3237" t="s">
        <v>3664</v>
      </c>
      <c r="G428" s="3237" t="s">
        <v>3224</v>
      </c>
      <c r="H428" s="3236" t="s">
        <v>4468</v>
      </c>
      <c r="I428" s="3236">
        <v>204.64</v>
      </c>
    </row>
    <row r="429" spans="1:9" ht="11.25" customHeight="1" x14ac:dyDescent="0.2">
      <c r="A429" s="3237" t="s">
        <v>4470</v>
      </c>
      <c r="B429" s="3237" t="s">
        <v>3190</v>
      </c>
      <c r="C429" s="3237" t="s">
        <v>4461</v>
      </c>
      <c r="D429" s="3237" t="s">
        <v>4462</v>
      </c>
      <c r="E429" s="3237" t="s">
        <v>4471</v>
      </c>
      <c r="F429" s="3237" t="s">
        <v>3664</v>
      </c>
      <c r="G429" s="3237" t="s">
        <v>3224</v>
      </c>
      <c r="H429" s="3236" t="s">
        <v>4468</v>
      </c>
      <c r="I429" s="3236">
        <v>196.66</v>
      </c>
    </row>
    <row r="430" spans="1:9" ht="11.25" customHeight="1" x14ac:dyDescent="0.2">
      <c r="A430" s="3237" t="s">
        <v>4470</v>
      </c>
      <c r="B430" s="3237" t="s">
        <v>3192</v>
      </c>
      <c r="C430" s="3237" t="s">
        <v>4461</v>
      </c>
      <c r="D430" s="3237" t="s">
        <v>4462</v>
      </c>
      <c r="E430" s="3237" t="s">
        <v>4471</v>
      </c>
      <c r="F430" s="3237" t="s">
        <v>3664</v>
      </c>
      <c r="G430" s="3237" t="s">
        <v>3224</v>
      </c>
      <c r="H430" s="3236" t="s">
        <v>4468</v>
      </c>
      <c r="I430" s="3236">
        <v>676.95</v>
      </c>
    </row>
    <row r="431" spans="1:9" ht="11.25" customHeight="1" x14ac:dyDescent="0.2">
      <c r="A431" s="3237" t="s">
        <v>4470</v>
      </c>
      <c r="B431" s="3237" t="s">
        <v>4472</v>
      </c>
      <c r="C431" s="3237" t="s">
        <v>4461</v>
      </c>
      <c r="D431" s="3237" t="s">
        <v>4462</v>
      </c>
      <c r="E431" s="3237" t="s">
        <v>4471</v>
      </c>
      <c r="F431" s="3237" t="s">
        <v>3664</v>
      </c>
      <c r="G431" s="3237" t="s">
        <v>3224</v>
      </c>
      <c r="H431" s="3236" t="s">
        <v>4468</v>
      </c>
      <c r="I431" s="3236">
        <v>188.2</v>
      </c>
    </row>
    <row r="432" spans="1:9" ht="11.25" customHeight="1" x14ac:dyDescent="0.2">
      <c r="A432" s="3237" t="s">
        <v>4470</v>
      </c>
      <c r="B432" s="3237" t="s">
        <v>4473</v>
      </c>
      <c r="C432" s="3237" t="s">
        <v>4461</v>
      </c>
      <c r="D432" s="3237" t="s">
        <v>4462</v>
      </c>
      <c r="E432" s="3237" t="s">
        <v>4471</v>
      </c>
      <c r="F432" s="3237" t="s">
        <v>3664</v>
      </c>
      <c r="G432" s="3237" t="s">
        <v>3224</v>
      </c>
      <c r="H432" s="3236" t="s">
        <v>4468</v>
      </c>
      <c r="I432" s="3236">
        <v>193.78</v>
      </c>
    </row>
    <row r="433" spans="1:9" ht="11.25" customHeight="1" x14ac:dyDescent="0.2">
      <c r="A433" s="3237" t="s">
        <v>4470</v>
      </c>
      <c r="B433" s="3237" t="s">
        <v>3196</v>
      </c>
      <c r="C433" s="3237" t="s">
        <v>4461</v>
      </c>
      <c r="D433" s="3237" t="s">
        <v>4462</v>
      </c>
      <c r="E433" s="3237" t="s">
        <v>4471</v>
      </c>
      <c r="F433" s="3237" t="s">
        <v>3664</v>
      </c>
      <c r="G433" s="3237" t="s">
        <v>3224</v>
      </c>
      <c r="H433" s="3236" t="s">
        <v>4468</v>
      </c>
      <c r="I433" s="3236">
        <v>113.83</v>
      </c>
    </row>
    <row r="434" spans="1:9" ht="11.25" customHeight="1" x14ac:dyDescent="0.2">
      <c r="A434" s="3237" t="s">
        <v>4470</v>
      </c>
      <c r="B434" s="3237" t="s">
        <v>3198</v>
      </c>
      <c r="C434" s="3237" t="s">
        <v>4461</v>
      </c>
      <c r="D434" s="3237" t="s">
        <v>4462</v>
      </c>
      <c r="E434" s="3237" t="s">
        <v>4471</v>
      </c>
      <c r="F434" s="3237" t="s">
        <v>3664</v>
      </c>
      <c r="G434" s="3237" t="s">
        <v>3224</v>
      </c>
      <c r="H434" s="3236" t="s">
        <v>4468</v>
      </c>
      <c r="I434" s="3236">
        <v>147.19999999999999</v>
      </c>
    </row>
    <row r="435" spans="1:9" ht="11.25" customHeight="1" x14ac:dyDescent="0.2">
      <c r="A435" s="3237" t="s">
        <v>4470</v>
      </c>
      <c r="B435" s="3237" t="s">
        <v>3199</v>
      </c>
      <c r="C435" s="3237" t="s">
        <v>4461</v>
      </c>
      <c r="D435" s="3237" t="s">
        <v>4462</v>
      </c>
      <c r="E435" s="3237" t="s">
        <v>4471</v>
      </c>
      <c r="F435" s="3237" t="s">
        <v>3664</v>
      </c>
      <c r="G435" s="3237" t="s">
        <v>3224</v>
      </c>
      <c r="H435" s="3236" t="s">
        <v>4468</v>
      </c>
      <c r="I435" s="3236">
        <v>165.28</v>
      </c>
    </row>
    <row r="436" spans="1:9" ht="11.25" customHeight="1" x14ac:dyDescent="0.2">
      <c r="A436" s="3237" t="s">
        <v>4470</v>
      </c>
      <c r="B436" s="3237" t="s">
        <v>3200</v>
      </c>
      <c r="C436" s="3237" t="s">
        <v>4461</v>
      </c>
      <c r="D436" s="3237" t="s">
        <v>4462</v>
      </c>
      <c r="E436" s="3237" t="s">
        <v>4471</v>
      </c>
      <c r="F436" s="3237" t="s">
        <v>3664</v>
      </c>
      <c r="G436" s="3237" t="s">
        <v>3224</v>
      </c>
      <c r="H436" s="3236" t="s">
        <v>4468</v>
      </c>
      <c r="I436" s="3236">
        <v>169.42</v>
      </c>
    </row>
    <row r="437" spans="1:9" ht="11.25" customHeight="1" x14ac:dyDescent="0.2">
      <c r="A437" s="3237" t="s">
        <v>4470</v>
      </c>
      <c r="B437" s="3237" t="s">
        <v>3201</v>
      </c>
      <c r="C437" s="3237" t="s">
        <v>4461</v>
      </c>
      <c r="D437" s="3237" t="s">
        <v>4462</v>
      </c>
      <c r="E437" s="3237" t="s">
        <v>4471</v>
      </c>
      <c r="F437" s="3237" t="s">
        <v>3664</v>
      </c>
      <c r="G437" s="3237" t="s">
        <v>3224</v>
      </c>
      <c r="H437" s="3236" t="s">
        <v>4468</v>
      </c>
      <c r="I437" s="3236">
        <v>147.99</v>
      </c>
    </row>
    <row r="438" spans="1:9" ht="11.25" customHeight="1" x14ac:dyDescent="0.2">
      <c r="A438" s="3237" t="s">
        <v>4470</v>
      </c>
      <c r="B438" s="3237" t="s">
        <v>3206</v>
      </c>
      <c r="C438" s="3237" t="s">
        <v>4461</v>
      </c>
      <c r="D438" s="3237" t="s">
        <v>4462</v>
      </c>
      <c r="E438" s="3237" t="s">
        <v>4471</v>
      </c>
      <c r="F438" s="3237" t="s">
        <v>3664</v>
      </c>
      <c r="G438" s="3237" t="s">
        <v>3224</v>
      </c>
      <c r="H438" s="3236" t="s">
        <v>4468</v>
      </c>
      <c r="I438" s="3236">
        <v>148.62</v>
      </c>
    </row>
    <row r="439" spans="1:9" ht="11.25" customHeight="1" x14ac:dyDescent="0.2">
      <c r="A439" s="3237" t="s">
        <v>4470</v>
      </c>
      <c r="B439" s="3237" t="s">
        <v>3208</v>
      </c>
      <c r="C439" s="3237" t="s">
        <v>4461</v>
      </c>
      <c r="D439" s="3237" t="s">
        <v>4462</v>
      </c>
      <c r="E439" s="3237" t="s">
        <v>4471</v>
      </c>
      <c r="F439" s="3237" t="s">
        <v>3664</v>
      </c>
      <c r="G439" s="3237" t="s">
        <v>3224</v>
      </c>
      <c r="H439" s="3236" t="s">
        <v>4464</v>
      </c>
      <c r="I439" s="3236">
        <v>154.85</v>
      </c>
    </row>
    <row r="440" spans="1:9" ht="11.25" customHeight="1" x14ac:dyDescent="0.2">
      <c r="A440" s="3237" t="s">
        <v>4470</v>
      </c>
      <c r="B440" s="3237" t="s">
        <v>3208</v>
      </c>
      <c r="C440" s="3237" t="s">
        <v>4461</v>
      </c>
      <c r="D440" s="3237" t="s">
        <v>4462</v>
      </c>
      <c r="E440" s="3237" t="s">
        <v>4471</v>
      </c>
      <c r="F440" s="3237" t="s">
        <v>3665</v>
      </c>
      <c r="G440" s="3237" t="s">
        <v>3212</v>
      </c>
      <c r="H440" s="3236" t="s">
        <v>4464</v>
      </c>
      <c r="I440" s="3236">
        <v>913.44</v>
      </c>
    </row>
    <row r="441" spans="1:9" ht="11.25" hidden="1" customHeight="1" x14ac:dyDescent="0.2">
      <c r="A441" s="3237" t="s">
        <v>4470</v>
      </c>
      <c r="B441" s="3237" t="s">
        <v>3180</v>
      </c>
      <c r="C441" s="3237" t="s">
        <v>4461</v>
      </c>
      <c r="D441" s="3237" t="s">
        <v>4462</v>
      </c>
      <c r="E441" s="3237" t="s">
        <v>4471</v>
      </c>
      <c r="F441" s="3237" t="s">
        <v>3665</v>
      </c>
      <c r="G441" s="3237" t="s">
        <v>3221</v>
      </c>
      <c r="H441" s="3236" t="s">
        <v>4464</v>
      </c>
      <c r="I441" s="3236">
        <v>353.11</v>
      </c>
    </row>
    <row r="442" spans="1:9" ht="11.25" customHeight="1" x14ac:dyDescent="0.2">
      <c r="A442" s="3237"/>
      <c r="B442" s="3237"/>
      <c r="C442" s="3237"/>
      <c r="D442" s="3237"/>
      <c r="E442" s="3237"/>
      <c r="F442" s="3237"/>
      <c r="G442" s="3419" t="s">
        <v>4474</v>
      </c>
      <c r="H442" s="3419"/>
      <c r="I442" s="3242">
        <f>SUM(I426:I441)</f>
        <v>5291.33</v>
      </c>
    </row>
    <row r="443" spans="1:9" ht="11.25" hidden="1" customHeight="1" x14ac:dyDescent="0.2">
      <c r="A443" s="3237" t="s">
        <v>4475</v>
      </c>
      <c r="B443" s="3237" t="s">
        <v>3667</v>
      </c>
      <c r="C443" s="3237" t="s">
        <v>4461</v>
      </c>
      <c r="D443" s="3237" t="s">
        <v>4462</v>
      </c>
      <c r="E443" s="3237" t="s">
        <v>4476</v>
      </c>
      <c r="F443" s="3237" t="s">
        <v>3662</v>
      </c>
      <c r="G443" s="3237" t="s">
        <v>3221</v>
      </c>
      <c r="H443" s="3236" t="s">
        <v>4464</v>
      </c>
      <c r="I443" s="3236">
        <v>29.09</v>
      </c>
    </row>
    <row r="444" spans="1:9" ht="11.25" hidden="1" customHeight="1" x14ac:dyDescent="0.2">
      <c r="A444" s="3237" t="s">
        <v>4475</v>
      </c>
      <c r="B444" s="3237" t="s">
        <v>3668</v>
      </c>
      <c r="C444" s="3237" t="s">
        <v>4461</v>
      </c>
      <c r="D444" s="3237" t="s">
        <v>4462</v>
      </c>
      <c r="E444" s="3237" t="s">
        <v>4476</v>
      </c>
      <c r="F444" s="3237" t="s">
        <v>3662</v>
      </c>
      <c r="G444" s="3237" t="s">
        <v>3221</v>
      </c>
      <c r="H444" s="3236" t="s">
        <v>4464</v>
      </c>
      <c r="I444" s="3236">
        <v>29.09</v>
      </c>
    </row>
    <row r="445" spans="1:9" ht="11.25" hidden="1" customHeight="1" x14ac:dyDescent="0.2">
      <c r="A445" s="3237" t="s">
        <v>4475</v>
      </c>
      <c r="B445" s="3237" t="s">
        <v>3669</v>
      </c>
      <c r="C445" s="3237" t="s">
        <v>4461</v>
      </c>
      <c r="D445" s="3237" t="s">
        <v>4462</v>
      </c>
      <c r="E445" s="3237" t="s">
        <v>4476</v>
      </c>
      <c r="F445" s="3237" t="s">
        <v>3662</v>
      </c>
      <c r="G445" s="3237" t="s">
        <v>3221</v>
      </c>
      <c r="H445" s="3236" t="s">
        <v>4464</v>
      </c>
      <c r="I445" s="3236">
        <v>29.09</v>
      </c>
    </row>
    <row r="446" spans="1:9" ht="11.25" hidden="1" customHeight="1" x14ac:dyDescent="0.2">
      <c r="A446" s="3237" t="s">
        <v>4475</v>
      </c>
      <c r="B446" s="3237" t="s">
        <v>3670</v>
      </c>
      <c r="C446" s="3237" t="s">
        <v>4461</v>
      </c>
      <c r="D446" s="3237" t="s">
        <v>4462</v>
      </c>
      <c r="E446" s="3237" t="s">
        <v>4476</v>
      </c>
      <c r="F446" s="3237" t="s">
        <v>3662</v>
      </c>
      <c r="G446" s="3237" t="s">
        <v>3221</v>
      </c>
      <c r="H446" s="3236" t="s">
        <v>4464</v>
      </c>
      <c r="I446" s="3236">
        <v>29.09</v>
      </c>
    </row>
    <row r="447" spans="1:9" ht="11.25" hidden="1" customHeight="1" x14ac:dyDescent="0.2">
      <c r="A447" s="3237" t="s">
        <v>4475</v>
      </c>
      <c r="B447" s="3237" t="s">
        <v>3671</v>
      </c>
      <c r="C447" s="3237" t="s">
        <v>4461</v>
      </c>
      <c r="D447" s="3237" t="s">
        <v>4462</v>
      </c>
      <c r="E447" s="3237" t="s">
        <v>4476</v>
      </c>
      <c r="F447" s="3237" t="s">
        <v>3662</v>
      </c>
      <c r="G447" s="3237" t="s">
        <v>3221</v>
      </c>
      <c r="H447" s="3236" t="s">
        <v>4464</v>
      </c>
      <c r="I447" s="3236">
        <v>29.09</v>
      </c>
    </row>
    <row r="448" spans="1:9" ht="11.25" hidden="1" customHeight="1" x14ac:dyDescent="0.2">
      <c r="A448" s="3237" t="s">
        <v>4475</v>
      </c>
      <c r="B448" s="3237" t="s">
        <v>3672</v>
      </c>
      <c r="C448" s="3237" t="s">
        <v>4461</v>
      </c>
      <c r="D448" s="3237" t="s">
        <v>4462</v>
      </c>
      <c r="E448" s="3237" t="s">
        <v>4476</v>
      </c>
      <c r="F448" s="3237" t="s">
        <v>3662</v>
      </c>
      <c r="G448" s="3237" t="s">
        <v>3221</v>
      </c>
      <c r="H448" s="3236" t="s">
        <v>4464</v>
      </c>
      <c r="I448" s="3236">
        <v>29.09</v>
      </c>
    </row>
    <row r="449" spans="1:9" ht="11.25" hidden="1" customHeight="1" x14ac:dyDescent="0.2">
      <c r="A449" s="3237" t="s">
        <v>4475</v>
      </c>
      <c r="B449" s="3237" t="s">
        <v>3673</v>
      </c>
      <c r="C449" s="3237" t="s">
        <v>4461</v>
      </c>
      <c r="D449" s="3237" t="s">
        <v>4462</v>
      </c>
      <c r="E449" s="3237" t="s">
        <v>4476</v>
      </c>
      <c r="F449" s="3237" t="s">
        <v>3662</v>
      </c>
      <c r="G449" s="3237" t="s">
        <v>3221</v>
      </c>
      <c r="H449" s="3236" t="s">
        <v>4464</v>
      </c>
      <c r="I449" s="3236">
        <v>29.09</v>
      </c>
    </row>
    <row r="450" spans="1:9" ht="11.25" hidden="1" customHeight="1" x14ac:dyDescent="0.2">
      <c r="A450" s="3237" t="s">
        <v>4475</v>
      </c>
      <c r="B450" s="3237" t="s">
        <v>3674</v>
      </c>
      <c r="C450" s="3237" t="s">
        <v>4461</v>
      </c>
      <c r="D450" s="3237" t="s">
        <v>4462</v>
      </c>
      <c r="E450" s="3237" t="s">
        <v>4476</v>
      </c>
      <c r="F450" s="3237" t="s">
        <v>3662</v>
      </c>
      <c r="G450" s="3237" t="s">
        <v>3221</v>
      </c>
      <c r="H450" s="3236" t="s">
        <v>4464</v>
      </c>
      <c r="I450" s="3236">
        <v>29.09</v>
      </c>
    </row>
    <row r="451" spans="1:9" ht="11.25" hidden="1" customHeight="1" x14ac:dyDescent="0.2">
      <c r="A451" s="3237" t="s">
        <v>4475</v>
      </c>
      <c r="B451" s="3237" t="s">
        <v>3675</v>
      </c>
      <c r="C451" s="3237" t="s">
        <v>4461</v>
      </c>
      <c r="D451" s="3237" t="s">
        <v>4462</v>
      </c>
      <c r="E451" s="3237" t="s">
        <v>4476</v>
      </c>
      <c r="F451" s="3237" t="s">
        <v>3662</v>
      </c>
      <c r="G451" s="3237" t="s">
        <v>3221</v>
      </c>
      <c r="H451" s="3236" t="s">
        <v>4464</v>
      </c>
      <c r="I451" s="3236">
        <v>29.09</v>
      </c>
    </row>
    <row r="452" spans="1:9" ht="11.25" hidden="1" customHeight="1" x14ac:dyDescent="0.2">
      <c r="A452" s="3237" t="s">
        <v>4475</v>
      </c>
      <c r="B452" s="3237" t="s">
        <v>3676</v>
      </c>
      <c r="C452" s="3237" t="s">
        <v>4461</v>
      </c>
      <c r="D452" s="3237" t="s">
        <v>4462</v>
      </c>
      <c r="E452" s="3237" t="s">
        <v>4476</v>
      </c>
      <c r="F452" s="3237" t="s">
        <v>3662</v>
      </c>
      <c r="G452" s="3237" t="s">
        <v>3221</v>
      </c>
      <c r="H452" s="3236" t="s">
        <v>4464</v>
      </c>
      <c r="I452" s="3236">
        <v>29.09</v>
      </c>
    </row>
    <row r="453" spans="1:9" ht="11.25" hidden="1" customHeight="1" x14ac:dyDescent="0.2">
      <c r="A453" s="3237" t="s">
        <v>4475</v>
      </c>
      <c r="B453" s="3237" t="s">
        <v>3677</v>
      </c>
      <c r="C453" s="3237" t="s">
        <v>4461</v>
      </c>
      <c r="D453" s="3237" t="s">
        <v>4462</v>
      </c>
      <c r="E453" s="3237" t="s">
        <v>4476</v>
      </c>
      <c r="F453" s="3237" t="s">
        <v>3662</v>
      </c>
      <c r="G453" s="3237" t="s">
        <v>3221</v>
      </c>
      <c r="H453" s="3236" t="s">
        <v>4464</v>
      </c>
      <c r="I453" s="3236">
        <v>29.09</v>
      </c>
    </row>
    <row r="454" spans="1:9" ht="11.25" hidden="1" customHeight="1" x14ac:dyDescent="0.2">
      <c r="A454" s="3237" t="s">
        <v>4475</v>
      </c>
      <c r="B454" s="3237" t="s">
        <v>3678</v>
      </c>
      <c r="C454" s="3237" t="s">
        <v>4461</v>
      </c>
      <c r="D454" s="3237" t="s">
        <v>4462</v>
      </c>
      <c r="E454" s="3237" t="s">
        <v>4476</v>
      </c>
      <c r="F454" s="3237" t="s">
        <v>3662</v>
      </c>
      <c r="G454" s="3237" t="s">
        <v>3221</v>
      </c>
      <c r="H454" s="3236" t="s">
        <v>4464</v>
      </c>
      <c r="I454" s="3236">
        <v>29.09</v>
      </c>
    </row>
    <row r="455" spans="1:9" ht="11.25" hidden="1" customHeight="1" x14ac:dyDescent="0.2">
      <c r="A455" s="3237" t="s">
        <v>4475</v>
      </c>
      <c r="B455" s="3237" t="s">
        <v>3679</v>
      </c>
      <c r="C455" s="3237" t="s">
        <v>4461</v>
      </c>
      <c r="D455" s="3237" t="s">
        <v>4462</v>
      </c>
      <c r="E455" s="3237" t="s">
        <v>4476</v>
      </c>
      <c r="F455" s="3237" t="s">
        <v>3662</v>
      </c>
      <c r="G455" s="3237" t="s">
        <v>3221</v>
      </c>
      <c r="H455" s="3236" t="s">
        <v>4464</v>
      </c>
      <c r="I455" s="3236">
        <v>29.09</v>
      </c>
    </row>
    <row r="456" spans="1:9" ht="11.25" hidden="1" customHeight="1" x14ac:dyDescent="0.2">
      <c r="A456" s="3237" t="s">
        <v>4475</v>
      </c>
      <c r="B456" s="3237" t="s">
        <v>3680</v>
      </c>
      <c r="C456" s="3237" t="s">
        <v>4461</v>
      </c>
      <c r="D456" s="3237" t="s">
        <v>4462</v>
      </c>
      <c r="E456" s="3237" t="s">
        <v>4476</v>
      </c>
      <c r="F456" s="3237" t="s">
        <v>3662</v>
      </c>
      <c r="G456" s="3237" t="s">
        <v>3221</v>
      </c>
      <c r="H456" s="3236" t="s">
        <v>4464</v>
      </c>
      <c r="I456" s="3236">
        <v>29.09</v>
      </c>
    </row>
    <row r="457" spans="1:9" ht="11.25" hidden="1" customHeight="1" x14ac:dyDescent="0.2">
      <c r="A457" s="3237" t="s">
        <v>4475</v>
      </c>
      <c r="B457" s="3237" t="s">
        <v>3681</v>
      </c>
      <c r="C457" s="3237" t="s">
        <v>4461</v>
      </c>
      <c r="D457" s="3237" t="s">
        <v>4462</v>
      </c>
      <c r="E457" s="3237" t="s">
        <v>4476</v>
      </c>
      <c r="F457" s="3237" t="s">
        <v>3662</v>
      </c>
      <c r="G457" s="3237" t="s">
        <v>3221</v>
      </c>
      <c r="H457" s="3236" t="s">
        <v>4464</v>
      </c>
      <c r="I457" s="3236">
        <v>29.09</v>
      </c>
    </row>
    <row r="458" spans="1:9" ht="11.25" hidden="1" customHeight="1" x14ac:dyDescent="0.2">
      <c r="A458" s="3237" t="s">
        <v>4475</v>
      </c>
      <c r="B458" s="3237" t="s">
        <v>3682</v>
      </c>
      <c r="C458" s="3237" t="s">
        <v>4461</v>
      </c>
      <c r="D458" s="3237" t="s">
        <v>4462</v>
      </c>
      <c r="E458" s="3237" t="s">
        <v>4476</v>
      </c>
      <c r="F458" s="3237" t="s">
        <v>3662</v>
      </c>
      <c r="G458" s="3237" t="s">
        <v>3221</v>
      </c>
      <c r="H458" s="3236" t="s">
        <v>4464</v>
      </c>
      <c r="I458" s="3236">
        <v>29.09</v>
      </c>
    </row>
    <row r="459" spans="1:9" ht="11.25" hidden="1" customHeight="1" x14ac:dyDescent="0.2">
      <c r="A459" s="3237" t="s">
        <v>4475</v>
      </c>
      <c r="B459" s="3237" t="s">
        <v>3683</v>
      </c>
      <c r="C459" s="3237" t="s">
        <v>4461</v>
      </c>
      <c r="D459" s="3237" t="s">
        <v>4462</v>
      </c>
      <c r="E459" s="3237" t="s">
        <v>4476</v>
      </c>
      <c r="F459" s="3237" t="s">
        <v>3662</v>
      </c>
      <c r="G459" s="3237" t="s">
        <v>3221</v>
      </c>
      <c r="H459" s="3236" t="s">
        <v>4464</v>
      </c>
      <c r="I459" s="3236">
        <v>29.09</v>
      </c>
    </row>
    <row r="460" spans="1:9" ht="11.25" hidden="1" customHeight="1" x14ac:dyDescent="0.2">
      <c r="A460" s="3237" t="s">
        <v>4475</v>
      </c>
      <c r="B460" s="3237" t="s">
        <v>3684</v>
      </c>
      <c r="C460" s="3237" t="s">
        <v>4461</v>
      </c>
      <c r="D460" s="3237" t="s">
        <v>4462</v>
      </c>
      <c r="E460" s="3237" t="s">
        <v>4476</v>
      </c>
      <c r="F460" s="3237" t="s">
        <v>3662</v>
      </c>
      <c r="G460" s="3237" t="s">
        <v>3221</v>
      </c>
      <c r="H460" s="3236" t="s">
        <v>4464</v>
      </c>
      <c r="I460" s="3236">
        <v>29.09</v>
      </c>
    </row>
    <row r="461" spans="1:9" ht="11.25" hidden="1" customHeight="1" x14ac:dyDescent="0.2">
      <c r="A461" s="3237" t="s">
        <v>4475</v>
      </c>
      <c r="B461" s="3237" t="s">
        <v>3685</v>
      </c>
      <c r="C461" s="3237" t="s">
        <v>4461</v>
      </c>
      <c r="D461" s="3237" t="s">
        <v>4462</v>
      </c>
      <c r="E461" s="3237" t="s">
        <v>4476</v>
      </c>
      <c r="F461" s="3237" t="s">
        <v>3662</v>
      </c>
      <c r="G461" s="3237" t="s">
        <v>3221</v>
      </c>
      <c r="H461" s="3236" t="s">
        <v>4464</v>
      </c>
      <c r="I461" s="3236">
        <v>29.09</v>
      </c>
    </row>
    <row r="462" spans="1:9" ht="11.25" hidden="1" customHeight="1" x14ac:dyDescent="0.2">
      <c r="A462" s="3237" t="s">
        <v>4475</v>
      </c>
      <c r="B462" s="3237" t="s">
        <v>3686</v>
      </c>
      <c r="C462" s="3237" t="s">
        <v>4461</v>
      </c>
      <c r="D462" s="3237" t="s">
        <v>4462</v>
      </c>
      <c r="E462" s="3237" t="s">
        <v>4476</v>
      </c>
      <c r="F462" s="3237" t="s">
        <v>3662</v>
      </c>
      <c r="G462" s="3237" t="s">
        <v>3221</v>
      </c>
      <c r="H462" s="3236" t="s">
        <v>4464</v>
      </c>
      <c r="I462" s="3236">
        <v>29.09</v>
      </c>
    </row>
    <row r="463" spans="1:9" ht="11.25" hidden="1" customHeight="1" x14ac:dyDescent="0.2">
      <c r="A463" s="3237" t="s">
        <v>4475</v>
      </c>
      <c r="B463" s="3237" t="s">
        <v>3687</v>
      </c>
      <c r="C463" s="3237" t="s">
        <v>4461</v>
      </c>
      <c r="D463" s="3237" t="s">
        <v>4462</v>
      </c>
      <c r="E463" s="3237" t="s">
        <v>4476</v>
      </c>
      <c r="F463" s="3237" t="s">
        <v>3662</v>
      </c>
      <c r="G463" s="3237" t="s">
        <v>3221</v>
      </c>
      <c r="H463" s="3236" t="s">
        <v>4464</v>
      </c>
      <c r="I463" s="3236">
        <v>29.09</v>
      </c>
    </row>
    <row r="464" spans="1:9" ht="11.25" hidden="1" customHeight="1" x14ac:dyDescent="0.2">
      <c r="A464" s="3237" t="s">
        <v>4475</v>
      </c>
      <c r="B464" s="3237" t="s">
        <v>3688</v>
      </c>
      <c r="C464" s="3237" t="s">
        <v>4461</v>
      </c>
      <c r="D464" s="3237" t="s">
        <v>4462</v>
      </c>
      <c r="E464" s="3237" t="s">
        <v>4476</v>
      </c>
      <c r="F464" s="3237" t="s">
        <v>3662</v>
      </c>
      <c r="G464" s="3237" t="s">
        <v>3221</v>
      </c>
      <c r="H464" s="3236" t="s">
        <v>4464</v>
      </c>
      <c r="I464" s="3236">
        <v>29.09</v>
      </c>
    </row>
    <row r="465" spans="1:9" ht="11.25" hidden="1" customHeight="1" x14ac:dyDescent="0.2">
      <c r="A465" s="3237" t="s">
        <v>4475</v>
      </c>
      <c r="B465" s="3237" t="s">
        <v>3689</v>
      </c>
      <c r="C465" s="3237" t="s">
        <v>4461</v>
      </c>
      <c r="D465" s="3237" t="s">
        <v>4462</v>
      </c>
      <c r="E465" s="3237" t="s">
        <v>4476</v>
      </c>
      <c r="F465" s="3237" t="s">
        <v>3662</v>
      </c>
      <c r="G465" s="3237" t="s">
        <v>3221</v>
      </c>
      <c r="H465" s="3236" t="s">
        <v>4464</v>
      </c>
      <c r="I465" s="3236">
        <v>29.09</v>
      </c>
    </row>
    <row r="466" spans="1:9" ht="11.25" hidden="1" customHeight="1" x14ac:dyDescent="0.2">
      <c r="A466" s="3237" t="s">
        <v>4475</v>
      </c>
      <c r="B466" s="3237" t="s">
        <v>3690</v>
      </c>
      <c r="C466" s="3237" t="s">
        <v>4461</v>
      </c>
      <c r="D466" s="3237" t="s">
        <v>4462</v>
      </c>
      <c r="E466" s="3237" t="s">
        <v>4476</v>
      </c>
      <c r="F466" s="3237" t="s">
        <v>3662</v>
      </c>
      <c r="G466" s="3237" t="s">
        <v>3221</v>
      </c>
      <c r="H466" s="3236" t="s">
        <v>4464</v>
      </c>
      <c r="I466" s="3236">
        <v>29.09</v>
      </c>
    </row>
    <row r="467" spans="1:9" ht="11.25" hidden="1" customHeight="1" x14ac:dyDescent="0.2">
      <c r="A467" s="3237" t="s">
        <v>4475</v>
      </c>
      <c r="B467" s="3237" t="s">
        <v>3691</v>
      </c>
      <c r="C467" s="3237" t="s">
        <v>4461</v>
      </c>
      <c r="D467" s="3237" t="s">
        <v>4462</v>
      </c>
      <c r="E467" s="3237" t="s">
        <v>4476</v>
      </c>
      <c r="F467" s="3237" t="s">
        <v>3662</v>
      </c>
      <c r="G467" s="3237" t="s">
        <v>3221</v>
      </c>
      <c r="H467" s="3236" t="s">
        <v>4464</v>
      </c>
      <c r="I467" s="3236">
        <v>29.09</v>
      </c>
    </row>
    <row r="468" spans="1:9" ht="11.25" hidden="1" customHeight="1" x14ac:dyDescent="0.2">
      <c r="A468" s="3237" t="s">
        <v>4475</v>
      </c>
      <c r="B468" s="3237" t="s">
        <v>3692</v>
      </c>
      <c r="C468" s="3237" t="s">
        <v>4461</v>
      </c>
      <c r="D468" s="3237" t="s">
        <v>4462</v>
      </c>
      <c r="E468" s="3237" t="s">
        <v>4476</v>
      </c>
      <c r="F468" s="3237" t="s">
        <v>3662</v>
      </c>
      <c r="G468" s="3237" t="s">
        <v>3221</v>
      </c>
      <c r="H468" s="3236" t="s">
        <v>4464</v>
      </c>
      <c r="I468" s="3236">
        <v>29.09</v>
      </c>
    </row>
    <row r="469" spans="1:9" ht="11.25" hidden="1" customHeight="1" x14ac:dyDescent="0.2">
      <c r="A469" s="3237" t="s">
        <v>4475</v>
      </c>
      <c r="B469" s="3237" t="s">
        <v>3693</v>
      </c>
      <c r="C469" s="3237" t="s">
        <v>4461</v>
      </c>
      <c r="D469" s="3237" t="s">
        <v>4462</v>
      </c>
      <c r="E469" s="3237" t="s">
        <v>4476</v>
      </c>
      <c r="F469" s="3237" t="s">
        <v>3662</v>
      </c>
      <c r="G469" s="3237" t="s">
        <v>3221</v>
      </c>
      <c r="H469" s="3236" t="s">
        <v>4464</v>
      </c>
      <c r="I469" s="3236">
        <v>29.09</v>
      </c>
    </row>
    <row r="470" spans="1:9" ht="11.25" hidden="1" customHeight="1" x14ac:dyDescent="0.2">
      <c r="A470" s="3237" t="s">
        <v>4475</v>
      </c>
      <c r="B470" s="3237" t="s">
        <v>3694</v>
      </c>
      <c r="C470" s="3237" t="s">
        <v>4461</v>
      </c>
      <c r="D470" s="3237" t="s">
        <v>4462</v>
      </c>
      <c r="E470" s="3237" t="s">
        <v>4476</v>
      </c>
      <c r="F470" s="3237" t="s">
        <v>3662</v>
      </c>
      <c r="G470" s="3237" t="s">
        <v>3221</v>
      </c>
      <c r="H470" s="3236" t="s">
        <v>4464</v>
      </c>
      <c r="I470" s="3236">
        <v>29.09</v>
      </c>
    </row>
    <row r="471" spans="1:9" ht="11.25" hidden="1" customHeight="1" x14ac:dyDescent="0.2">
      <c r="A471" s="3237" t="s">
        <v>4475</v>
      </c>
      <c r="B471" s="3237" t="s">
        <v>3695</v>
      </c>
      <c r="C471" s="3237" t="s">
        <v>4461</v>
      </c>
      <c r="D471" s="3237" t="s">
        <v>4462</v>
      </c>
      <c r="E471" s="3237" t="s">
        <v>4476</v>
      </c>
      <c r="F471" s="3237" t="s">
        <v>3662</v>
      </c>
      <c r="G471" s="3237" t="s">
        <v>3221</v>
      </c>
      <c r="H471" s="3236" t="s">
        <v>4464</v>
      </c>
      <c r="I471" s="3236">
        <v>29.09</v>
      </c>
    </row>
    <row r="472" spans="1:9" ht="11.25" hidden="1" customHeight="1" x14ac:dyDescent="0.2">
      <c r="A472" s="3237" t="s">
        <v>4475</v>
      </c>
      <c r="B472" s="3237" t="s">
        <v>3696</v>
      </c>
      <c r="C472" s="3237" t="s">
        <v>4461</v>
      </c>
      <c r="D472" s="3237" t="s">
        <v>4462</v>
      </c>
      <c r="E472" s="3237" t="s">
        <v>4476</v>
      </c>
      <c r="F472" s="3237" t="s">
        <v>3662</v>
      </c>
      <c r="G472" s="3237" t="s">
        <v>3221</v>
      </c>
      <c r="H472" s="3236" t="s">
        <v>4464</v>
      </c>
      <c r="I472" s="3236">
        <v>29.09</v>
      </c>
    </row>
    <row r="473" spans="1:9" ht="11.25" hidden="1" customHeight="1" x14ac:dyDescent="0.2">
      <c r="A473" s="3237" t="s">
        <v>4475</v>
      </c>
      <c r="B473" s="3237" t="s">
        <v>3697</v>
      </c>
      <c r="C473" s="3237" t="s">
        <v>4461</v>
      </c>
      <c r="D473" s="3237" t="s">
        <v>4462</v>
      </c>
      <c r="E473" s="3237" t="s">
        <v>4476</v>
      </c>
      <c r="F473" s="3237" t="s">
        <v>3662</v>
      </c>
      <c r="G473" s="3237" t="s">
        <v>3221</v>
      </c>
      <c r="H473" s="3236" t="s">
        <v>4464</v>
      </c>
      <c r="I473" s="3236">
        <v>29.09</v>
      </c>
    </row>
    <row r="474" spans="1:9" ht="11.25" hidden="1" customHeight="1" x14ac:dyDescent="0.2">
      <c r="A474" s="3237" t="s">
        <v>4475</v>
      </c>
      <c r="B474" s="3237" t="s">
        <v>3698</v>
      </c>
      <c r="C474" s="3237" t="s">
        <v>4461</v>
      </c>
      <c r="D474" s="3237" t="s">
        <v>4462</v>
      </c>
      <c r="E474" s="3237" t="s">
        <v>4476</v>
      </c>
      <c r="F474" s="3237" t="s">
        <v>3662</v>
      </c>
      <c r="G474" s="3237" t="s">
        <v>3221</v>
      </c>
      <c r="H474" s="3236" t="s">
        <v>4464</v>
      </c>
      <c r="I474" s="3236">
        <v>29.09</v>
      </c>
    </row>
    <row r="475" spans="1:9" ht="11.25" hidden="1" customHeight="1" x14ac:dyDescent="0.2">
      <c r="A475" s="3237" t="s">
        <v>4475</v>
      </c>
      <c r="B475" s="3237" t="s">
        <v>3699</v>
      </c>
      <c r="C475" s="3237" t="s">
        <v>4461</v>
      </c>
      <c r="D475" s="3237" t="s">
        <v>4462</v>
      </c>
      <c r="E475" s="3237" t="s">
        <v>4476</v>
      </c>
      <c r="F475" s="3237" t="s">
        <v>3662</v>
      </c>
      <c r="G475" s="3237" t="s">
        <v>3221</v>
      </c>
      <c r="H475" s="3236" t="s">
        <v>4464</v>
      </c>
      <c r="I475" s="3236">
        <v>29.09</v>
      </c>
    </row>
    <row r="476" spans="1:9" ht="11.25" hidden="1" customHeight="1" x14ac:dyDescent="0.2">
      <c r="A476" s="3237" t="s">
        <v>4475</v>
      </c>
      <c r="B476" s="3237" t="s">
        <v>3700</v>
      </c>
      <c r="C476" s="3237" t="s">
        <v>4461</v>
      </c>
      <c r="D476" s="3237" t="s">
        <v>4462</v>
      </c>
      <c r="E476" s="3237" t="s">
        <v>4476</v>
      </c>
      <c r="F476" s="3237" t="s">
        <v>3662</v>
      </c>
      <c r="G476" s="3237" t="s">
        <v>3221</v>
      </c>
      <c r="H476" s="3236" t="s">
        <v>4464</v>
      </c>
      <c r="I476" s="3236">
        <v>29.09</v>
      </c>
    </row>
    <row r="477" spans="1:9" ht="11.25" hidden="1" customHeight="1" x14ac:dyDescent="0.2">
      <c r="A477" s="3237" t="s">
        <v>4475</v>
      </c>
      <c r="B477" s="3237" t="s">
        <v>3701</v>
      </c>
      <c r="C477" s="3237" t="s">
        <v>4461</v>
      </c>
      <c r="D477" s="3237" t="s">
        <v>4462</v>
      </c>
      <c r="E477" s="3237" t="s">
        <v>4476</v>
      </c>
      <c r="F477" s="3237" t="s">
        <v>3662</v>
      </c>
      <c r="G477" s="3237" t="s">
        <v>3221</v>
      </c>
      <c r="H477" s="3236" t="s">
        <v>4464</v>
      </c>
      <c r="I477" s="3236">
        <v>29.09</v>
      </c>
    </row>
    <row r="478" spans="1:9" ht="11.25" hidden="1" customHeight="1" x14ac:dyDescent="0.2">
      <c r="A478" s="3237" t="s">
        <v>4475</v>
      </c>
      <c r="B478" s="3237" t="s">
        <v>3702</v>
      </c>
      <c r="C478" s="3237" t="s">
        <v>4461</v>
      </c>
      <c r="D478" s="3237" t="s">
        <v>4462</v>
      </c>
      <c r="E478" s="3237" t="s">
        <v>4476</v>
      </c>
      <c r="F478" s="3237" t="s">
        <v>3662</v>
      </c>
      <c r="G478" s="3237" t="s">
        <v>3221</v>
      </c>
      <c r="H478" s="3236" t="s">
        <v>4464</v>
      </c>
      <c r="I478" s="3236">
        <v>29.09</v>
      </c>
    </row>
    <row r="479" spans="1:9" ht="11.25" hidden="1" customHeight="1" x14ac:dyDescent="0.2">
      <c r="A479" s="3237" t="s">
        <v>4475</v>
      </c>
      <c r="B479" s="3237" t="s">
        <v>3703</v>
      </c>
      <c r="C479" s="3237" t="s">
        <v>4461</v>
      </c>
      <c r="D479" s="3237" t="s">
        <v>4462</v>
      </c>
      <c r="E479" s="3237" t="s">
        <v>4476</v>
      </c>
      <c r="F479" s="3237" t="s">
        <v>3662</v>
      </c>
      <c r="G479" s="3237" t="s">
        <v>3221</v>
      </c>
      <c r="H479" s="3236" t="s">
        <v>4464</v>
      </c>
      <c r="I479" s="3236">
        <v>29.09</v>
      </c>
    </row>
    <row r="480" spans="1:9" ht="11.25" hidden="1" customHeight="1" x14ac:dyDescent="0.2">
      <c r="A480" s="3237" t="s">
        <v>4475</v>
      </c>
      <c r="B480" s="3237" t="s">
        <v>3704</v>
      </c>
      <c r="C480" s="3237" t="s">
        <v>4461</v>
      </c>
      <c r="D480" s="3237" t="s">
        <v>4462</v>
      </c>
      <c r="E480" s="3237" t="s">
        <v>4476</v>
      </c>
      <c r="F480" s="3237" t="s">
        <v>3662</v>
      </c>
      <c r="G480" s="3237" t="s">
        <v>3221</v>
      </c>
      <c r="H480" s="3236" t="s">
        <v>4464</v>
      </c>
      <c r="I480" s="3236">
        <v>29.09</v>
      </c>
    </row>
    <row r="481" spans="1:9" ht="11.25" hidden="1" customHeight="1" x14ac:dyDescent="0.2">
      <c r="A481" s="3237" t="s">
        <v>4475</v>
      </c>
      <c r="B481" s="3237" t="s">
        <v>3705</v>
      </c>
      <c r="C481" s="3237" t="s">
        <v>4461</v>
      </c>
      <c r="D481" s="3237" t="s">
        <v>4462</v>
      </c>
      <c r="E481" s="3237" t="s">
        <v>4476</v>
      </c>
      <c r="F481" s="3237" t="s">
        <v>3662</v>
      </c>
      <c r="G481" s="3237" t="s">
        <v>3221</v>
      </c>
      <c r="H481" s="3236" t="s">
        <v>4464</v>
      </c>
      <c r="I481" s="3236">
        <v>29.09</v>
      </c>
    </row>
    <row r="482" spans="1:9" ht="11.25" hidden="1" customHeight="1" x14ac:dyDescent="0.2">
      <c r="A482" s="3237" t="s">
        <v>4475</v>
      </c>
      <c r="B482" s="3237" t="s">
        <v>3706</v>
      </c>
      <c r="C482" s="3237" t="s">
        <v>4461</v>
      </c>
      <c r="D482" s="3237" t="s">
        <v>4462</v>
      </c>
      <c r="E482" s="3237" t="s">
        <v>4476</v>
      </c>
      <c r="F482" s="3237" t="s">
        <v>3662</v>
      </c>
      <c r="G482" s="3237" t="s">
        <v>3221</v>
      </c>
      <c r="H482" s="3236" t="s">
        <v>4464</v>
      </c>
      <c r="I482" s="3236">
        <v>29.09</v>
      </c>
    </row>
    <row r="483" spans="1:9" ht="11.25" hidden="1" customHeight="1" x14ac:dyDescent="0.2">
      <c r="A483" s="3237" t="s">
        <v>4475</v>
      </c>
      <c r="B483" s="3237" t="s">
        <v>3707</v>
      </c>
      <c r="C483" s="3237" t="s">
        <v>4461</v>
      </c>
      <c r="D483" s="3237" t="s">
        <v>4462</v>
      </c>
      <c r="E483" s="3237" t="s">
        <v>4476</v>
      </c>
      <c r="F483" s="3237" t="s">
        <v>3662</v>
      </c>
      <c r="G483" s="3237" t="s">
        <v>3221</v>
      </c>
      <c r="H483" s="3236" t="s">
        <v>4464</v>
      </c>
      <c r="I483" s="3236">
        <v>29.09</v>
      </c>
    </row>
    <row r="484" spans="1:9" ht="11.25" hidden="1" customHeight="1" x14ac:dyDescent="0.2">
      <c r="A484" s="3237" t="s">
        <v>4475</v>
      </c>
      <c r="B484" s="3237" t="s">
        <v>3708</v>
      </c>
      <c r="C484" s="3237" t="s">
        <v>4461</v>
      </c>
      <c r="D484" s="3237" t="s">
        <v>4462</v>
      </c>
      <c r="E484" s="3237" t="s">
        <v>4476</v>
      </c>
      <c r="F484" s="3237" t="s">
        <v>3662</v>
      </c>
      <c r="G484" s="3237" t="s">
        <v>3221</v>
      </c>
      <c r="H484" s="3236" t="s">
        <v>4464</v>
      </c>
      <c r="I484" s="3236">
        <v>29.09</v>
      </c>
    </row>
    <row r="485" spans="1:9" ht="11.25" hidden="1" customHeight="1" x14ac:dyDescent="0.2">
      <c r="A485" s="3237" t="s">
        <v>4475</v>
      </c>
      <c r="B485" s="3237" t="s">
        <v>3709</v>
      </c>
      <c r="C485" s="3237" t="s">
        <v>4461</v>
      </c>
      <c r="D485" s="3237" t="s">
        <v>4462</v>
      </c>
      <c r="E485" s="3237" t="s">
        <v>4476</v>
      </c>
      <c r="F485" s="3237" t="s">
        <v>3662</v>
      </c>
      <c r="G485" s="3237" t="s">
        <v>3221</v>
      </c>
      <c r="H485" s="3236" t="s">
        <v>4464</v>
      </c>
      <c r="I485" s="3236">
        <v>29.09</v>
      </c>
    </row>
    <row r="486" spans="1:9" ht="11.25" hidden="1" customHeight="1" x14ac:dyDescent="0.2">
      <c r="A486" s="3237" t="s">
        <v>4475</v>
      </c>
      <c r="B486" s="3237" t="s">
        <v>3710</v>
      </c>
      <c r="C486" s="3237" t="s">
        <v>4461</v>
      </c>
      <c r="D486" s="3237" t="s">
        <v>4462</v>
      </c>
      <c r="E486" s="3237" t="s">
        <v>4476</v>
      </c>
      <c r="F486" s="3237" t="s">
        <v>3662</v>
      </c>
      <c r="G486" s="3237" t="s">
        <v>3221</v>
      </c>
      <c r="H486" s="3236" t="s">
        <v>4464</v>
      </c>
      <c r="I486" s="3236">
        <v>29.09</v>
      </c>
    </row>
    <row r="487" spans="1:9" ht="11.25" hidden="1" customHeight="1" x14ac:dyDescent="0.2">
      <c r="A487" s="3237" t="s">
        <v>4475</v>
      </c>
      <c r="B487" s="3237" t="s">
        <v>3711</v>
      </c>
      <c r="C487" s="3237" t="s">
        <v>4461</v>
      </c>
      <c r="D487" s="3237" t="s">
        <v>4462</v>
      </c>
      <c r="E487" s="3237" t="s">
        <v>4476</v>
      </c>
      <c r="F487" s="3237" t="s">
        <v>3662</v>
      </c>
      <c r="G487" s="3237" t="s">
        <v>3221</v>
      </c>
      <c r="H487" s="3236" t="s">
        <v>4464</v>
      </c>
      <c r="I487" s="3236">
        <v>29.09</v>
      </c>
    </row>
    <row r="488" spans="1:9" ht="11.25" hidden="1" customHeight="1" x14ac:dyDescent="0.2">
      <c r="A488" s="3237" t="s">
        <v>4475</v>
      </c>
      <c r="B488" s="3237" t="s">
        <v>3712</v>
      </c>
      <c r="C488" s="3237" t="s">
        <v>4461</v>
      </c>
      <c r="D488" s="3237" t="s">
        <v>4462</v>
      </c>
      <c r="E488" s="3237" t="s">
        <v>4476</v>
      </c>
      <c r="F488" s="3237" t="s">
        <v>3662</v>
      </c>
      <c r="G488" s="3237" t="s">
        <v>3221</v>
      </c>
      <c r="H488" s="3236" t="s">
        <v>4464</v>
      </c>
      <c r="I488" s="3236">
        <v>29.09</v>
      </c>
    </row>
    <row r="489" spans="1:9" ht="11.25" hidden="1" customHeight="1" x14ac:dyDescent="0.2">
      <c r="A489" s="3237" t="s">
        <v>4475</v>
      </c>
      <c r="B489" s="3237" t="s">
        <v>3713</v>
      </c>
      <c r="C489" s="3237" t="s">
        <v>4461</v>
      </c>
      <c r="D489" s="3237" t="s">
        <v>4462</v>
      </c>
      <c r="E489" s="3237" t="s">
        <v>4476</v>
      </c>
      <c r="F489" s="3237" t="s">
        <v>3662</v>
      </c>
      <c r="G489" s="3237" t="s">
        <v>3221</v>
      </c>
      <c r="H489" s="3236" t="s">
        <v>4464</v>
      </c>
      <c r="I489" s="3236">
        <v>29.09</v>
      </c>
    </row>
    <row r="490" spans="1:9" ht="11.25" hidden="1" customHeight="1" x14ac:dyDescent="0.2">
      <c r="A490" s="3237" t="s">
        <v>4475</v>
      </c>
      <c r="B490" s="3237" t="s">
        <v>3714</v>
      </c>
      <c r="C490" s="3237" t="s">
        <v>4461</v>
      </c>
      <c r="D490" s="3237" t="s">
        <v>4462</v>
      </c>
      <c r="E490" s="3237" t="s">
        <v>4476</v>
      </c>
      <c r="F490" s="3237" t="s">
        <v>3662</v>
      </c>
      <c r="G490" s="3237" t="s">
        <v>3221</v>
      </c>
      <c r="H490" s="3236" t="s">
        <v>4464</v>
      </c>
      <c r="I490" s="3236">
        <v>29.09</v>
      </c>
    </row>
    <row r="491" spans="1:9" ht="11.25" hidden="1" customHeight="1" x14ac:dyDescent="0.2">
      <c r="A491" s="3237" t="s">
        <v>4475</v>
      </c>
      <c r="B491" s="3237" t="s">
        <v>3715</v>
      </c>
      <c r="C491" s="3237" t="s">
        <v>4461</v>
      </c>
      <c r="D491" s="3237" t="s">
        <v>4462</v>
      </c>
      <c r="E491" s="3237" t="s">
        <v>4476</v>
      </c>
      <c r="F491" s="3237" t="s">
        <v>3662</v>
      </c>
      <c r="G491" s="3237" t="s">
        <v>3221</v>
      </c>
      <c r="H491" s="3236" t="s">
        <v>4464</v>
      </c>
      <c r="I491" s="3236">
        <v>29.09</v>
      </c>
    </row>
    <row r="492" spans="1:9" ht="11.25" hidden="1" customHeight="1" x14ac:dyDescent="0.2">
      <c r="A492" s="3237" t="s">
        <v>4475</v>
      </c>
      <c r="B492" s="3237" t="s">
        <v>3716</v>
      </c>
      <c r="C492" s="3237" t="s">
        <v>4461</v>
      </c>
      <c r="D492" s="3237" t="s">
        <v>4462</v>
      </c>
      <c r="E492" s="3237" t="s">
        <v>4476</v>
      </c>
      <c r="F492" s="3237" t="s">
        <v>3662</v>
      </c>
      <c r="G492" s="3237" t="s">
        <v>3221</v>
      </c>
      <c r="H492" s="3236" t="s">
        <v>4464</v>
      </c>
      <c r="I492" s="3236">
        <v>29.09</v>
      </c>
    </row>
    <row r="493" spans="1:9" ht="11.25" hidden="1" customHeight="1" x14ac:dyDescent="0.2">
      <c r="A493" s="3237" t="s">
        <v>4475</v>
      </c>
      <c r="B493" s="3237" t="s">
        <v>3717</v>
      </c>
      <c r="C493" s="3237" t="s">
        <v>4461</v>
      </c>
      <c r="D493" s="3237" t="s">
        <v>4462</v>
      </c>
      <c r="E493" s="3237" t="s">
        <v>4476</v>
      </c>
      <c r="F493" s="3237" t="s">
        <v>3662</v>
      </c>
      <c r="G493" s="3237" t="s">
        <v>3221</v>
      </c>
      <c r="H493" s="3236" t="s">
        <v>4464</v>
      </c>
      <c r="I493" s="3236">
        <v>29.09</v>
      </c>
    </row>
    <row r="494" spans="1:9" ht="11.25" hidden="1" customHeight="1" x14ac:dyDescent="0.2">
      <c r="A494" s="3237" t="s">
        <v>4475</v>
      </c>
      <c r="B494" s="3237" t="s">
        <v>3718</v>
      </c>
      <c r="C494" s="3237" t="s">
        <v>4461</v>
      </c>
      <c r="D494" s="3237" t="s">
        <v>4462</v>
      </c>
      <c r="E494" s="3237" t="s">
        <v>4476</v>
      </c>
      <c r="F494" s="3237" t="s">
        <v>3662</v>
      </c>
      <c r="G494" s="3237" t="s">
        <v>3221</v>
      </c>
      <c r="H494" s="3236" t="s">
        <v>4464</v>
      </c>
      <c r="I494" s="3236">
        <v>29.09</v>
      </c>
    </row>
    <row r="495" spans="1:9" ht="11.25" hidden="1" customHeight="1" x14ac:dyDescent="0.2">
      <c r="A495" s="3237" t="s">
        <v>4475</v>
      </c>
      <c r="B495" s="3237" t="s">
        <v>3719</v>
      </c>
      <c r="C495" s="3237" t="s">
        <v>4461</v>
      </c>
      <c r="D495" s="3237" t="s">
        <v>4462</v>
      </c>
      <c r="E495" s="3237" t="s">
        <v>4476</v>
      </c>
      <c r="F495" s="3237" t="s">
        <v>3662</v>
      </c>
      <c r="G495" s="3237" t="s">
        <v>3221</v>
      </c>
      <c r="H495" s="3236" t="s">
        <v>4464</v>
      </c>
      <c r="I495" s="3236">
        <v>29.09</v>
      </c>
    </row>
    <row r="496" spans="1:9" ht="11.25" hidden="1" customHeight="1" x14ac:dyDescent="0.2">
      <c r="A496" s="3237" t="s">
        <v>4475</v>
      </c>
      <c r="B496" s="3237" t="s">
        <v>3720</v>
      </c>
      <c r="C496" s="3237" t="s">
        <v>4461</v>
      </c>
      <c r="D496" s="3237" t="s">
        <v>4462</v>
      </c>
      <c r="E496" s="3237" t="s">
        <v>4476</v>
      </c>
      <c r="F496" s="3237" t="s">
        <v>3662</v>
      </c>
      <c r="G496" s="3237" t="s">
        <v>3221</v>
      </c>
      <c r="H496" s="3236" t="s">
        <v>4464</v>
      </c>
      <c r="I496" s="3236">
        <v>29.09</v>
      </c>
    </row>
    <row r="497" spans="1:9" ht="11.25" hidden="1" customHeight="1" x14ac:dyDescent="0.2">
      <c r="A497" s="3237" t="s">
        <v>4475</v>
      </c>
      <c r="B497" s="3237" t="s">
        <v>3721</v>
      </c>
      <c r="C497" s="3237" t="s">
        <v>4461</v>
      </c>
      <c r="D497" s="3237" t="s">
        <v>4462</v>
      </c>
      <c r="E497" s="3237" t="s">
        <v>4476</v>
      </c>
      <c r="F497" s="3237" t="s">
        <v>3662</v>
      </c>
      <c r="G497" s="3237" t="s">
        <v>3221</v>
      </c>
      <c r="H497" s="3236" t="s">
        <v>4464</v>
      </c>
      <c r="I497" s="3236">
        <v>29.09</v>
      </c>
    </row>
    <row r="498" spans="1:9" ht="11.25" hidden="1" customHeight="1" x14ac:dyDescent="0.2">
      <c r="A498" s="3237" t="s">
        <v>4475</v>
      </c>
      <c r="B498" s="3237" t="s">
        <v>3722</v>
      </c>
      <c r="C498" s="3237" t="s">
        <v>4461</v>
      </c>
      <c r="D498" s="3237" t="s">
        <v>4462</v>
      </c>
      <c r="E498" s="3237" t="s">
        <v>4476</v>
      </c>
      <c r="F498" s="3237" t="s">
        <v>3662</v>
      </c>
      <c r="G498" s="3237" t="s">
        <v>3221</v>
      </c>
      <c r="H498" s="3236" t="s">
        <v>4464</v>
      </c>
      <c r="I498" s="3236">
        <v>29.09</v>
      </c>
    </row>
    <row r="499" spans="1:9" ht="11.25" hidden="1" customHeight="1" x14ac:dyDescent="0.2">
      <c r="A499" s="3237" t="s">
        <v>4475</v>
      </c>
      <c r="B499" s="3237" t="s">
        <v>3723</v>
      </c>
      <c r="C499" s="3237" t="s">
        <v>4461</v>
      </c>
      <c r="D499" s="3237" t="s">
        <v>4462</v>
      </c>
      <c r="E499" s="3237" t="s">
        <v>4476</v>
      </c>
      <c r="F499" s="3237" t="s">
        <v>3662</v>
      </c>
      <c r="G499" s="3237" t="s">
        <v>3221</v>
      </c>
      <c r="H499" s="3236" t="s">
        <v>4464</v>
      </c>
      <c r="I499" s="3236">
        <v>29.09</v>
      </c>
    </row>
    <row r="500" spans="1:9" ht="11.25" hidden="1" customHeight="1" x14ac:dyDescent="0.2">
      <c r="A500" s="3237" t="s">
        <v>4475</v>
      </c>
      <c r="B500" s="3237" t="s">
        <v>3724</v>
      </c>
      <c r="C500" s="3237" t="s">
        <v>4461</v>
      </c>
      <c r="D500" s="3237" t="s">
        <v>4462</v>
      </c>
      <c r="E500" s="3237" t="s">
        <v>4476</v>
      </c>
      <c r="F500" s="3237" t="s">
        <v>3662</v>
      </c>
      <c r="G500" s="3237" t="s">
        <v>3221</v>
      </c>
      <c r="H500" s="3236" t="s">
        <v>4464</v>
      </c>
      <c r="I500" s="3236">
        <v>29.09</v>
      </c>
    </row>
    <row r="501" spans="1:9" ht="11.25" hidden="1" customHeight="1" x14ac:dyDescent="0.2">
      <c r="A501" s="3237" t="s">
        <v>4475</v>
      </c>
      <c r="B501" s="3237" t="s">
        <v>3725</v>
      </c>
      <c r="C501" s="3237" t="s">
        <v>4461</v>
      </c>
      <c r="D501" s="3237" t="s">
        <v>4462</v>
      </c>
      <c r="E501" s="3237" t="s">
        <v>4476</v>
      </c>
      <c r="F501" s="3237" t="s">
        <v>3662</v>
      </c>
      <c r="G501" s="3237" t="s">
        <v>3221</v>
      </c>
      <c r="H501" s="3236" t="s">
        <v>4464</v>
      </c>
      <c r="I501" s="3236">
        <v>29.09</v>
      </c>
    </row>
    <row r="502" spans="1:9" ht="11.25" hidden="1" customHeight="1" x14ac:dyDescent="0.2">
      <c r="A502" s="3237" t="s">
        <v>4475</v>
      </c>
      <c r="B502" s="3237" t="s">
        <v>3726</v>
      </c>
      <c r="C502" s="3237" t="s">
        <v>4461</v>
      </c>
      <c r="D502" s="3237" t="s">
        <v>4462</v>
      </c>
      <c r="E502" s="3237" t="s">
        <v>4476</v>
      </c>
      <c r="F502" s="3237" t="s">
        <v>3662</v>
      </c>
      <c r="G502" s="3237" t="s">
        <v>3221</v>
      </c>
      <c r="H502" s="3236" t="s">
        <v>4464</v>
      </c>
      <c r="I502" s="3236">
        <v>29.09</v>
      </c>
    </row>
    <row r="503" spans="1:9" ht="11.25" hidden="1" customHeight="1" x14ac:dyDescent="0.2">
      <c r="A503" s="3237" t="s">
        <v>4475</v>
      </c>
      <c r="B503" s="3237" t="s">
        <v>3727</v>
      </c>
      <c r="C503" s="3237" t="s">
        <v>4461</v>
      </c>
      <c r="D503" s="3237" t="s">
        <v>4462</v>
      </c>
      <c r="E503" s="3237" t="s">
        <v>4476</v>
      </c>
      <c r="F503" s="3237" t="s">
        <v>3662</v>
      </c>
      <c r="G503" s="3237" t="s">
        <v>3221</v>
      </c>
      <c r="H503" s="3236" t="s">
        <v>4464</v>
      </c>
      <c r="I503" s="3236">
        <v>29.09</v>
      </c>
    </row>
    <row r="504" spans="1:9" ht="11.25" hidden="1" customHeight="1" x14ac:dyDescent="0.2">
      <c r="A504" s="3237" t="s">
        <v>4475</v>
      </c>
      <c r="B504" s="3237" t="s">
        <v>3728</v>
      </c>
      <c r="C504" s="3237" t="s">
        <v>4461</v>
      </c>
      <c r="D504" s="3237" t="s">
        <v>4462</v>
      </c>
      <c r="E504" s="3237" t="s">
        <v>4476</v>
      </c>
      <c r="F504" s="3237" t="s">
        <v>3662</v>
      </c>
      <c r="G504" s="3237" t="s">
        <v>3221</v>
      </c>
      <c r="H504" s="3236" t="s">
        <v>4464</v>
      </c>
      <c r="I504" s="3236">
        <v>29.09</v>
      </c>
    </row>
    <row r="505" spans="1:9" ht="11.25" hidden="1" customHeight="1" x14ac:dyDescent="0.2">
      <c r="A505" s="3237" t="s">
        <v>4475</v>
      </c>
      <c r="B505" s="3237" t="s">
        <v>3729</v>
      </c>
      <c r="C505" s="3237" t="s">
        <v>4461</v>
      </c>
      <c r="D505" s="3237" t="s">
        <v>4462</v>
      </c>
      <c r="E505" s="3237" t="s">
        <v>4476</v>
      </c>
      <c r="F505" s="3237" t="s">
        <v>3662</v>
      </c>
      <c r="G505" s="3237" t="s">
        <v>3221</v>
      </c>
      <c r="H505" s="3236" t="s">
        <v>4464</v>
      </c>
      <c r="I505" s="3236">
        <v>29.09</v>
      </c>
    </row>
    <row r="506" spans="1:9" ht="11.25" hidden="1" customHeight="1" x14ac:dyDescent="0.2">
      <c r="A506" s="3237" t="s">
        <v>4475</v>
      </c>
      <c r="B506" s="3237" t="s">
        <v>3730</v>
      </c>
      <c r="C506" s="3237" t="s">
        <v>4461</v>
      </c>
      <c r="D506" s="3237" t="s">
        <v>4462</v>
      </c>
      <c r="E506" s="3237" t="s">
        <v>4476</v>
      </c>
      <c r="F506" s="3237" t="s">
        <v>3662</v>
      </c>
      <c r="G506" s="3237" t="s">
        <v>3221</v>
      </c>
      <c r="H506" s="3236" t="s">
        <v>4464</v>
      </c>
      <c r="I506" s="3236">
        <v>29.09</v>
      </c>
    </row>
    <row r="507" spans="1:9" ht="11.25" hidden="1" customHeight="1" x14ac:dyDescent="0.2">
      <c r="A507" s="3237" t="s">
        <v>4475</v>
      </c>
      <c r="B507" s="3237" t="s">
        <v>3731</v>
      </c>
      <c r="C507" s="3237" t="s">
        <v>4461</v>
      </c>
      <c r="D507" s="3237" t="s">
        <v>4462</v>
      </c>
      <c r="E507" s="3237" t="s">
        <v>4476</v>
      </c>
      <c r="F507" s="3237" t="s">
        <v>3662</v>
      </c>
      <c r="G507" s="3237" t="s">
        <v>3221</v>
      </c>
      <c r="H507" s="3236" t="s">
        <v>4464</v>
      </c>
      <c r="I507" s="3236">
        <v>29.09</v>
      </c>
    </row>
    <row r="508" spans="1:9" ht="11.25" hidden="1" customHeight="1" x14ac:dyDescent="0.2">
      <c r="A508" s="3237" t="s">
        <v>4475</v>
      </c>
      <c r="B508" s="3237" t="s">
        <v>3732</v>
      </c>
      <c r="C508" s="3237" t="s">
        <v>4461</v>
      </c>
      <c r="D508" s="3237" t="s">
        <v>4462</v>
      </c>
      <c r="E508" s="3237" t="s">
        <v>4476</v>
      </c>
      <c r="F508" s="3237" t="s">
        <v>3662</v>
      </c>
      <c r="G508" s="3237" t="s">
        <v>3221</v>
      </c>
      <c r="H508" s="3236" t="s">
        <v>4464</v>
      </c>
      <c r="I508" s="3236">
        <v>29.09</v>
      </c>
    </row>
    <row r="509" spans="1:9" ht="11.25" hidden="1" customHeight="1" x14ac:dyDescent="0.2">
      <c r="A509" s="3237" t="s">
        <v>4475</v>
      </c>
      <c r="B509" s="3237" t="s">
        <v>3733</v>
      </c>
      <c r="C509" s="3237" t="s">
        <v>4461</v>
      </c>
      <c r="D509" s="3237" t="s">
        <v>4462</v>
      </c>
      <c r="E509" s="3237" t="s">
        <v>4476</v>
      </c>
      <c r="F509" s="3237" t="s">
        <v>3662</v>
      </c>
      <c r="G509" s="3237" t="s">
        <v>3221</v>
      </c>
      <c r="H509" s="3236" t="s">
        <v>4464</v>
      </c>
      <c r="I509" s="3236">
        <v>29.09</v>
      </c>
    </row>
    <row r="510" spans="1:9" ht="11.25" hidden="1" customHeight="1" x14ac:dyDescent="0.2">
      <c r="A510" s="3237" t="s">
        <v>4475</v>
      </c>
      <c r="B510" s="3237" t="s">
        <v>3734</v>
      </c>
      <c r="C510" s="3237" t="s">
        <v>4461</v>
      </c>
      <c r="D510" s="3237" t="s">
        <v>4462</v>
      </c>
      <c r="E510" s="3237" t="s">
        <v>4476</v>
      </c>
      <c r="F510" s="3237" t="s">
        <v>3662</v>
      </c>
      <c r="G510" s="3237" t="s">
        <v>3221</v>
      </c>
      <c r="H510" s="3236" t="s">
        <v>4464</v>
      </c>
      <c r="I510" s="3236">
        <v>29.09</v>
      </c>
    </row>
    <row r="511" spans="1:9" ht="11.25" hidden="1" customHeight="1" x14ac:dyDescent="0.2">
      <c r="A511" s="3237" t="s">
        <v>4475</v>
      </c>
      <c r="B511" s="3237" t="s">
        <v>3735</v>
      </c>
      <c r="C511" s="3237" t="s">
        <v>4461</v>
      </c>
      <c r="D511" s="3237" t="s">
        <v>4462</v>
      </c>
      <c r="E511" s="3237" t="s">
        <v>4476</v>
      </c>
      <c r="F511" s="3237" t="s">
        <v>3662</v>
      </c>
      <c r="G511" s="3237" t="s">
        <v>3221</v>
      </c>
      <c r="H511" s="3236" t="s">
        <v>4464</v>
      </c>
      <c r="I511" s="3236">
        <v>29.09</v>
      </c>
    </row>
    <row r="512" spans="1:9" ht="11.25" hidden="1" customHeight="1" x14ac:dyDescent="0.2">
      <c r="A512" s="3237" t="s">
        <v>4475</v>
      </c>
      <c r="B512" s="3237" t="s">
        <v>3736</v>
      </c>
      <c r="C512" s="3237" t="s">
        <v>4461</v>
      </c>
      <c r="D512" s="3237" t="s">
        <v>4462</v>
      </c>
      <c r="E512" s="3237" t="s">
        <v>4476</v>
      </c>
      <c r="F512" s="3237" t="s">
        <v>3662</v>
      </c>
      <c r="G512" s="3237" t="s">
        <v>3221</v>
      </c>
      <c r="H512" s="3236" t="s">
        <v>4464</v>
      </c>
      <c r="I512" s="3236">
        <v>29.09</v>
      </c>
    </row>
    <row r="513" spans="1:9" ht="11.25" hidden="1" customHeight="1" x14ac:dyDescent="0.2">
      <c r="A513" s="3237" t="s">
        <v>4475</v>
      </c>
      <c r="B513" s="3237" t="s">
        <v>3737</v>
      </c>
      <c r="C513" s="3237" t="s">
        <v>4461</v>
      </c>
      <c r="D513" s="3237" t="s">
        <v>4462</v>
      </c>
      <c r="E513" s="3237" t="s">
        <v>4476</v>
      </c>
      <c r="F513" s="3237" t="s">
        <v>3662</v>
      </c>
      <c r="G513" s="3237" t="s">
        <v>3221</v>
      </c>
      <c r="H513" s="3236" t="s">
        <v>4464</v>
      </c>
      <c r="I513" s="3236">
        <v>29.09</v>
      </c>
    </row>
    <row r="514" spans="1:9" ht="11.25" hidden="1" customHeight="1" x14ac:dyDescent="0.2">
      <c r="A514" s="3237" t="s">
        <v>4475</v>
      </c>
      <c r="B514" s="3237" t="s">
        <v>3738</v>
      </c>
      <c r="C514" s="3237" t="s">
        <v>4461</v>
      </c>
      <c r="D514" s="3237" t="s">
        <v>4462</v>
      </c>
      <c r="E514" s="3237" t="s">
        <v>4476</v>
      </c>
      <c r="F514" s="3237" t="s">
        <v>3662</v>
      </c>
      <c r="G514" s="3237" t="s">
        <v>3221</v>
      </c>
      <c r="H514" s="3236" t="s">
        <v>4464</v>
      </c>
      <c r="I514" s="3236">
        <v>29.09</v>
      </c>
    </row>
    <row r="515" spans="1:9" ht="11.25" hidden="1" customHeight="1" x14ac:dyDescent="0.2">
      <c r="A515" s="3237" t="s">
        <v>4475</v>
      </c>
      <c r="B515" s="3237" t="s">
        <v>3739</v>
      </c>
      <c r="C515" s="3237" t="s">
        <v>4461</v>
      </c>
      <c r="D515" s="3237" t="s">
        <v>4462</v>
      </c>
      <c r="E515" s="3237" t="s">
        <v>4476</v>
      </c>
      <c r="F515" s="3237" t="s">
        <v>3662</v>
      </c>
      <c r="G515" s="3237" t="s">
        <v>3221</v>
      </c>
      <c r="H515" s="3236" t="s">
        <v>4464</v>
      </c>
      <c r="I515" s="3236">
        <v>29.09</v>
      </c>
    </row>
    <row r="516" spans="1:9" ht="11.25" hidden="1" customHeight="1" x14ac:dyDescent="0.2">
      <c r="A516" s="3237" t="s">
        <v>4475</v>
      </c>
      <c r="B516" s="3237" t="s">
        <v>3740</v>
      </c>
      <c r="C516" s="3237" t="s">
        <v>4461</v>
      </c>
      <c r="D516" s="3237" t="s">
        <v>4462</v>
      </c>
      <c r="E516" s="3237" t="s">
        <v>4476</v>
      </c>
      <c r="F516" s="3237" t="s">
        <v>3662</v>
      </c>
      <c r="G516" s="3237" t="s">
        <v>3221</v>
      </c>
      <c r="H516" s="3236" t="s">
        <v>4464</v>
      </c>
      <c r="I516" s="3236">
        <v>29.09</v>
      </c>
    </row>
    <row r="517" spans="1:9" ht="11.25" hidden="1" customHeight="1" x14ac:dyDescent="0.2">
      <c r="A517" s="3237" t="s">
        <v>4475</v>
      </c>
      <c r="B517" s="3237" t="s">
        <v>3741</v>
      </c>
      <c r="C517" s="3237" t="s">
        <v>4461</v>
      </c>
      <c r="D517" s="3237" t="s">
        <v>4462</v>
      </c>
      <c r="E517" s="3237" t="s">
        <v>4476</v>
      </c>
      <c r="F517" s="3237" t="s">
        <v>3662</v>
      </c>
      <c r="G517" s="3237" t="s">
        <v>3221</v>
      </c>
      <c r="H517" s="3236" t="s">
        <v>4464</v>
      </c>
      <c r="I517" s="3236">
        <v>29.09</v>
      </c>
    </row>
    <row r="518" spans="1:9" ht="11.25" hidden="1" customHeight="1" x14ac:dyDescent="0.2">
      <c r="A518" s="3237" t="s">
        <v>4475</v>
      </c>
      <c r="B518" s="3237" t="s">
        <v>3742</v>
      </c>
      <c r="C518" s="3237" t="s">
        <v>4461</v>
      </c>
      <c r="D518" s="3237" t="s">
        <v>4462</v>
      </c>
      <c r="E518" s="3237" t="s">
        <v>4476</v>
      </c>
      <c r="F518" s="3237" t="s">
        <v>3662</v>
      </c>
      <c r="G518" s="3237" t="s">
        <v>3221</v>
      </c>
      <c r="H518" s="3236" t="s">
        <v>4464</v>
      </c>
      <c r="I518" s="3236">
        <v>29.09</v>
      </c>
    </row>
    <row r="519" spans="1:9" ht="11.25" hidden="1" customHeight="1" x14ac:dyDescent="0.2">
      <c r="A519" s="3237" t="s">
        <v>4475</v>
      </c>
      <c r="B519" s="3237" t="s">
        <v>3743</v>
      </c>
      <c r="C519" s="3237" t="s">
        <v>4461</v>
      </c>
      <c r="D519" s="3237" t="s">
        <v>4462</v>
      </c>
      <c r="E519" s="3237" t="s">
        <v>4476</v>
      </c>
      <c r="F519" s="3237" t="s">
        <v>3662</v>
      </c>
      <c r="G519" s="3237" t="s">
        <v>3221</v>
      </c>
      <c r="H519" s="3236" t="s">
        <v>4464</v>
      </c>
      <c r="I519" s="3236">
        <v>29.09</v>
      </c>
    </row>
    <row r="520" spans="1:9" ht="11.25" hidden="1" customHeight="1" x14ac:dyDescent="0.2">
      <c r="A520" s="3237" t="s">
        <v>4475</v>
      </c>
      <c r="B520" s="3237" t="s">
        <v>3744</v>
      </c>
      <c r="C520" s="3237" t="s">
        <v>4461</v>
      </c>
      <c r="D520" s="3237" t="s">
        <v>4462</v>
      </c>
      <c r="E520" s="3237" t="s">
        <v>4476</v>
      </c>
      <c r="F520" s="3237" t="s">
        <v>3662</v>
      </c>
      <c r="G520" s="3237" t="s">
        <v>3221</v>
      </c>
      <c r="H520" s="3236" t="s">
        <v>4464</v>
      </c>
      <c r="I520" s="3236">
        <v>29.09</v>
      </c>
    </row>
    <row r="521" spans="1:9" ht="11.25" hidden="1" customHeight="1" x14ac:dyDescent="0.2">
      <c r="A521" s="3237" t="s">
        <v>4475</v>
      </c>
      <c r="B521" s="3237" t="s">
        <v>3745</v>
      </c>
      <c r="C521" s="3237" t="s">
        <v>4461</v>
      </c>
      <c r="D521" s="3237" t="s">
        <v>4462</v>
      </c>
      <c r="E521" s="3237" t="s">
        <v>4476</v>
      </c>
      <c r="F521" s="3237" t="s">
        <v>3662</v>
      </c>
      <c r="G521" s="3237" t="s">
        <v>3221</v>
      </c>
      <c r="H521" s="3236" t="s">
        <v>4464</v>
      </c>
      <c r="I521" s="3236">
        <v>29.09</v>
      </c>
    </row>
    <row r="522" spans="1:9" ht="11.25" hidden="1" customHeight="1" x14ac:dyDescent="0.2">
      <c r="A522" s="3237" t="s">
        <v>4475</v>
      </c>
      <c r="B522" s="3237" t="s">
        <v>3746</v>
      </c>
      <c r="C522" s="3237" t="s">
        <v>4461</v>
      </c>
      <c r="D522" s="3237" t="s">
        <v>4462</v>
      </c>
      <c r="E522" s="3237" t="s">
        <v>4476</v>
      </c>
      <c r="F522" s="3237" t="s">
        <v>3662</v>
      </c>
      <c r="G522" s="3237" t="s">
        <v>3221</v>
      </c>
      <c r="H522" s="3236" t="s">
        <v>4464</v>
      </c>
      <c r="I522" s="3236">
        <v>29.09</v>
      </c>
    </row>
    <row r="523" spans="1:9" ht="11.25" hidden="1" customHeight="1" x14ac:dyDescent="0.2">
      <c r="A523" s="3237" t="s">
        <v>4475</v>
      </c>
      <c r="B523" s="3237" t="s">
        <v>3747</v>
      </c>
      <c r="C523" s="3237" t="s">
        <v>4461</v>
      </c>
      <c r="D523" s="3237" t="s">
        <v>4462</v>
      </c>
      <c r="E523" s="3237" t="s">
        <v>4476</v>
      </c>
      <c r="F523" s="3237" t="s">
        <v>3662</v>
      </c>
      <c r="G523" s="3237" t="s">
        <v>3221</v>
      </c>
      <c r="H523" s="3236" t="s">
        <v>4464</v>
      </c>
      <c r="I523" s="3236">
        <v>29.09</v>
      </c>
    </row>
    <row r="524" spans="1:9" ht="11.25" hidden="1" customHeight="1" x14ac:dyDescent="0.2">
      <c r="A524" s="3237" t="s">
        <v>4475</v>
      </c>
      <c r="B524" s="3237" t="s">
        <v>3748</v>
      </c>
      <c r="C524" s="3237" t="s">
        <v>4461</v>
      </c>
      <c r="D524" s="3237" t="s">
        <v>4462</v>
      </c>
      <c r="E524" s="3237" t="s">
        <v>4476</v>
      </c>
      <c r="F524" s="3237" t="s">
        <v>3662</v>
      </c>
      <c r="G524" s="3237" t="s">
        <v>3221</v>
      </c>
      <c r="H524" s="3236" t="s">
        <v>4464</v>
      </c>
      <c r="I524" s="3236">
        <v>29.09</v>
      </c>
    </row>
    <row r="525" spans="1:9" ht="11.25" hidden="1" customHeight="1" x14ac:dyDescent="0.2">
      <c r="A525" s="3237" t="s">
        <v>4475</v>
      </c>
      <c r="B525" s="3237" t="s">
        <v>3749</v>
      </c>
      <c r="C525" s="3237" t="s">
        <v>4461</v>
      </c>
      <c r="D525" s="3237" t="s">
        <v>4462</v>
      </c>
      <c r="E525" s="3237" t="s">
        <v>4476</v>
      </c>
      <c r="F525" s="3237" t="s">
        <v>3662</v>
      </c>
      <c r="G525" s="3237" t="s">
        <v>3221</v>
      </c>
      <c r="H525" s="3236" t="s">
        <v>4464</v>
      </c>
      <c r="I525" s="3236">
        <v>29.09</v>
      </c>
    </row>
    <row r="526" spans="1:9" ht="11.25" hidden="1" customHeight="1" x14ac:dyDescent="0.2">
      <c r="A526" s="3237" t="s">
        <v>4475</v>
      </c>
      <c r="B526" s="3237" t="s">
        <v>3750</v>
      </c>
      <c r="C526" s="3237" t="s">
        <v>4461</v>
      </c>
      <c r="D526" s="3237" t="s">
        <v>4462</v>
      </c>
      <c r="E526" s="3237" t="s">
        <v>4476</v>
      </c>
      <c r="F526" s="3237" t="s">
        <v>3662</v>
      </c>
      <c r="G526" s="3237" t="s">
        <v>3221</v>
      </c>
      <c r="H526" s="3236" t="s">
        <v>4464</v>
      </c>
      <c r="I526" s="3236">
        <v>29.09</v>
      </c>
    </row>
    <row r="527" spans="1:9" ht="11.25" hidden="1" customHeight="1" x14ac:dyDescent="0.2">
      <c r="A527" s="3237" t="s">
        <v>4475</v>
      </c>
      <c r="B527" s="3237" t="s">
        <v>3751</v>
      </c>
      <c r="C527" s="3237" t="s">
        <v>4461</v>
      </c>
      <c r="D527" s="3237" t="s">
        <v>4462</v>
      </c>
      <c r="E527" s="3237" t="s">
        <v>4476</v>
      </c>
      <c r="F527" s="3237" t="s">
        <v>3662</v>
      </c>
      <c r="G527" s="3237" t="s">
        <v>3221</v>
      </c>
      <c r="H527" s="3236" t="s">
        <v>4464</v>
      </c>
      <c r="I527" s="3236">
        <v>29.09</v>
      </c>
    </row>
    <row r="528" spans="1:9" ht="11.25" hidden="1" customHeight="1" x14ac:dyDescent="0.2">
      <c r="A528" s="3237" t="s">
        <v>4475</v>
      </c>
      <c r="B528" s="3237" t="s">
        <v>3752</v>
      </c>
      <c r="C528" s="3237" t="s">
        <v>4461</v>
      </c>
      <c r="D528" s="3237" t="s">
        <v>4462</v>
      </c>
      <c r="E528" s="3237" t="s">
        <v>4476</v>
      </c>
      <c r="F528" s="3237" t="s">
        <v>3662</v>
      </c>
      <c r="G528" s="3237" t="s">
        <v>3221</v>
      </c>
      <c r="H528" s="3236" t="s">
        <v>4464</v>
      </c>
      <c r="I528" s="3236">
        <v>29.09</v>
      </c>
    </row>
    <row r="529" spans="1:9" ht="11.25" hidden="1" customHeight="1" x14ac:dyDescent="0.2">
      <c r="A529" s="3237" t="s">
        <v>4475</v>
      </c>
      <c r="B529" s="3237" t="s">
        <v>3753</v>
      </c>
      <c r="C529" s="3237" t="s">
        <v>4461</v>
      </c>
      <c r="D529" s="3237" t="s">
        <v>4462</v>
      </c>
      <c r="E529" s="3237" t="s">
        <v>4476</v>
      </c>
      <c r="F529" s="3237" t="s">
        <v>3662</v>
      </c>
      <c r="G529" s="3237" t="s">
        <v>3221</v>
      </c>
      <c r="H529" s="3236" t="s">
        <v>4464</v>
      </c>
      <c r="I529" s="3236">
        <v>29.09</v>
      </c>
    </row>
    <row r="530" spans="1:9" ht="11.25" hidden="1" customHeight="1" x14ac:dyDescent="0.2">
      <c r="A530" s="3237" t="s">
        <v>4475</v>
      </c>
      <c r="B530" s="3237" t="s">
        <v>3754</v>
      </c>
      <c r="C530" s="3237" t="s">
        <v>4461</v>
      </c>
      <c r="D530" s="3237" t="s">
        <v>4462</v>
      </c>
      <c r="E530" s="3237" t="s">
        <v>4476</v>
      </c>
      <c r="F530" s="3237" t="s">
        <v>3662</v>
      </c>
      <c r="G530" s="3237" t="s">
        <v>3221</v>
      </c>
      <c r="H530" s="3236" t="s">
        <v>4464</v>
      </c>
      <c r="I530" s="3236">
        <v>29.09</v>
      </c>
    </row>
    <row r="531" spans="1:9" ht="11.25" hidden="1" customHeight="1" x14ac:dyDescent="0.2">
      <c r="A531" s="3237" t="s">
        <v>4475</v>
      </c>
      <c r="B531" s="3237" t="s">
        <v>3755</v>
      </c>
      <c r="C531" s="3237" t="s">
        <v>4461</v>
      </c>
      <c r="D531" s="3237" t="s">
        <v>4462</v>
      </c>
      <c r="E531" s="3237" t="s">
        <v>4476</v>
      </c>
      <c r="F531" s="3237" t="s">
        <v>3662</v>
      </c>
      <c r="G531" s="3237" t="s">
        <v>3221</v>
      </c>
      <c r="H531" s="3236" t="s">
        <v>4464</v>
      </c>
      <c r="I531" s="3236">
        <v>29.09</v>
      </c>
    </row>
    <row r="532" spans="1:9" ht="11.25" hidden="1" customHeight="1" x14ac:dyDescent="0.2">
      <c r="A532" s="3237" t="s">
        <v>4475</v>
      </c>
      <c r="B532" s="3237" t="s">
        <v>3756</v>
      </c>
      <c r="C532" s="3237" t="s">
        <v>4461</v>
      </c>
      <c r="D532" s="3237" t="s">
        <v>4462</v>
      </c>
      <c r="E532" s="3237" t="s">
        <v>4476</v>
      </c>
      <c r="F532" s="3237" t="s">
        <v>3662</v>
      </c>
      <c r="G532" s="3237" t="s">
        <v>3221</v>
      </c>
      <c r="H532" s="3236" t="s">
        <v>4464</v>
      </c>
      <c r="I532" s="3236">
        <v>29.09</v>
      </c>
    </row>
    <row r="533" spans="1:9" ht="11.25" hidden="1" customHeight="1" x14ac:dyDescent="0.2">
      <c r="A533" s="3237" t="s">
        <v>4475</v>
      </c>
      <c r="B533" s="3237" t="s">
        <v>3757</v>
      </c>
      <c r="C533" s="3237" t="s">
        <v>4461</v>
      </c>
      <c r="D533" s="3237" t="s">
        <v>4462</v>
      </c>
      <c r="E533" s="3237" t="s">
        <v>4476</v>
      </c>
      <c r="F533" s="3237" t="s">
        <v>3662</v>
      </c>
      <c r="G533" s="3237" t="s">
        <v>3221</v>
      </c>
      <c r="H533" s="3236" t="s">
        <v>4464</v>
      </c>
      <c r="I533" s="3236">
        <v>29.09</v>
      </c>
    </row>
    <row r="534" spans="1:9" ht="11.25" hidden="1" customHeight="1" x14ac:dyDescent="0.2">
      <c r="A534" s="3237" t="s">
        <v>4475</v>
      </c>
      <c r="B534" s="3237" t="s">
        <v>3758</v>
      </c>
      <c r="C534" s="3237" t="s">
        <v>4461</v>
      </c>
      <c r="D534" s="3237" t="s">
        <v>4462</v>
      </c>
      <c r="E534" s="3237" t="s">
        <v>4476</v>
      </c>
      <c r="F534" s="3237" t="s">
        <v>3662</v>
      </c>
      <c r="G534" s="3237" t="s">
        <v>3221</v>
      </c>
      <c r="H534" s="3236" t="s">
        <v>4464</v>
      </c>
      <c r="I534" s="3236">
        <v>29.09</v>
      </c>
    </row>
    <row r="535" spans="1:9" ht="11.25" hidden="1" customHeight="1" x14ac:dyDescent="0.2">
      <c r="A535" s="3237" t="s">
        <v>4475</v>
      </c>
      <c r="B535" s="3237" t="s">
        <v>3759</v>
      </c>
      <c r="C535" s="3237" t="s">
        <v>4461</v>
      </c>
      <c r="D535" s="3237" t="s">
        <v>4462</v>
      </c>
      <c r="E535" s="3237" t="s">
        <v>4476</v>
      </c>
      <c r="F535" s="3237" t="s">
        <v>3662</v>
      </c>
      <c r="G535" s="3237" t="s">
        <v>3221</v>
      </c>
      <c r="H535" s="3236" t="s">
        <v>4464</v>
      </c>
      <c r="I535" s="3236">
        <v>29.09</v>
      </c>
    </row>
    <row r="536" spans="1:9" ht="11.25" hidden="1" customHeight="1" x14ac:dyDescent="0.2">
      <c r="A536" s="3237" t="s">
        <v>4475</v>
      </c>
      <c r="B536" s="3237" t="s">
        <v>3760</v>
      </c>
      <c r="C536" s="3237" t="s">
        <v>4461</v>
      </c>
      <c r="D536" s="3237" t="s">
        <v>4462</v>
      </c>
      <c r="E536" s="3237" t="s">
        <v>4476</v>
      </c>
      <c r="F536" s="3237" t="s">
        <v>3662</v>
      </c>
      <c r="G536" s="3237" t="s">
        <v>3221</v>
      </c>
      <c r="H536" s="3236" t="s">
        <v>4464</v>
      </c>
      <c r="I536" s="3236">
        <v>29.09</v>
      </c>
    </row>
    <row r="537" spans="1:9" ht="11.25" hidden="1" customHeight="1" x14ac:dyDescent="0.2">
      <c r="A537" s="3237" t="s">
        <v>4475</v>
      </c>
      <c r="B537" s="3237" t="s">
        <v>3761</v>
      </c>
      <c r="C537" s="3237" t="s">
        <v>4461</v>
      </c>
      <c r="D537" s="3237" t="s">
        <v>4462</v>
      </c>
      <c r="E537" s="3237" t="s">
        <v>4476</v>
      </c>
      <c r="F537" s="3237" t="s">
        <v>3662</v>
      </c>
      <c r="G537" s="3237" t="s">
        <v>3221</v>
      </c>
      <c r="H537" s="3236" t="s">
        <v>4464</v>
      </c>
      <c r="I537" s="3236">
        <v>29.09</v>
      </c>
    </row>
    <row r="538" spans="1:9" ht="11.25" hidden="1" customHeight="1" x14ac:dyDescent="0.2">
      <c r="A538" s="3237" t="s">
        <v>4475</v>
      </c>
      <c r="B538" s="3237" t="s">
        <v>3762</v>
      </c>
      <c r="C538" s="3237" t="s">
        <v>4461</v>
      </c>
      <c r="D538" s="3237" t="s">
        <v>4462</v>
      </c>
      <c r="E538" s="3237" t="s">
        <v>4476</v>
      </c>
      <c r="F538" s="3237" t="s">
        <v>3662</v>
      </c>
      <c r="G538" s="3237" t="s">
        <v>3221</v>
      </c>
      <c r="H538" s="3236" t="s">
        <v>4464</v>
      </c>
      <c r="I538" s="3236">
        <v>29.09</v>
      </c>
    </row>
    <row r="539" spans="1:9" ht="11.25" hidden="1" customHeight="1" x14ac:dyDescent="0.2">
      <c r="A539" s="3237" t="s">
        <v>4475</v>
      </c>
      <c r="B539" s="3237" t="s">
        <v>3763</v>
      </c>
      <c r="C539" s="3237" t="s">
        <v>4461</v>
      </c>
      <c r="D539" s="3237" t="s">
        <v>4462</v>
      </c>
      <c r="E539" s="3237" t="s">
        <v>4476</v>
      </c>
      <c r="F539" s="3237" t="s">
        <v>3662</v>
      </c>
      <c r="G539" s="3237" t="s">
        <v>3221</v>
      </c>
      <c r="H539" s="3236" t="s">
        <v>4464</v>
      </c>
      <c r="I539" s="3236">
        <v>29.09</v>
      </c>
    </row>
    <row r="540" spans="1:9" ht="11.25" hidden="1" customHeight="1" x14ac:dyDescent="0.2">
      <c r="A540" s="3237" t="s">
        <v>4475</v>
      </c>
      <c r="B540" s="3237" t="s">
        <v>3764</v>
      </c>
      <c r="C540" s="3237" t="s">
        <v>4461</v>
      </c>
      <c r="D540" s="3237" t="s">
        <v>4462</v>
      </c>
      <c r="E540" s="3237" t="s">
        <v>4476</v>
      </c>
      <c r="F540" s="3237" t="s">
        <v>3662</v>
      </c>
      <c r="G540" s="3237" t="s">
        <v>3221</v>
      </c>
      <c r="H540" s="3236" t="s">
        <v>4464</v>
      </c>
      <c r="I540" s="3236">
        <v>29.09</v>
      </c>
    </row>
    <row r="541" spans="1:9" ht="11.25" hidden="1" customHeight="1" x14ac:dyDescent="0.2">
      <c r="A541" s="3237" t="s">
        <v>4475</v>
      </c>
      <c r="B541" s="3237" t="s">
        <v>3765</v>
      </c>
      <c r="C541" s="3237" t="s">
        <v>4461</v>
      </c>
      <c r="D541" s="3237" t="s">
        <v>4462</v>
      </c>
      <c r="E541" s="3237" t="s">
        <v>4476</v>
      </c>
      <c r="F541" s="3237" t="s">
        <v>3662</v>
      </c>
      <c r="G541" s="3237" t="s">
        <v>3221</v>
      </c>
      <c r="H541" s="3236" t="s">
        <v>4464</v>
      </c>
      <c r="I541" s="3236">
        <v>29.09</v>
      </c>
    </row>
    <row r="542" spans="1:9" ht="11.25" hidden="1" customHeight="1" x14ac:dyDescent="0.2">
      <c r="A542" s="3237" t="s">
        <v>4475</v>
      </c>
      <c r="B542" s="3237" t="s">
        <v>3766</v>
      </c>
      <c r="C542" s="3237" t="s">
        <v>4461</v>
      </c>
      <c r="D542" s="3237" t="s">
        <v>4462</v>
      </c>
      <c r="E542" s="3237" t="s">
        <v>4476</v>
      </c>
      <c r="F542" s="3237" t="s">
        <v>3662</v>
      </c>
      <c r="G542" s="3237" t="s">
        <v>3221</v>
      </c>
      <c r="H542" s="3236" t="s">
        <v>4464</v>
      </c>
      <c r="I542" s="3236">
        <v>29.09</v>
      </c>
    </row>
    <row r="543" spans="1:9" ht="11.25" hidden="1" customHeight="1" x14ac:dyDescent="0.2">
      <c r="A543" s="3237" t="s">
        <v>4475</v>
      </c>
      <c r="B543" s="3237" t="s">
        <v>3767</v>
      </c>
      <c r="C543" s="3237" t="s">
        <v>4461</v>
      </c>
      <c r="D543" s="3237" t="s">
        <v>4462</v>
      </c>
      <c r="E543" s="3237" t="s">
        <v>4476</v>
      </c>
      <c r="F543" s="3237" t="s">
        <v>3662</v>
      </c>
      <c r="G543" s="3237" t="s">
        <v>3221</v>
      </c>
      <c r="H543" s="3236" t="s">
        <v>4464</v>
      </c>
      <c r="I543" s="3236">
        <v>29.09</v>
      </c>
    </row>
    <row r="544" spans="1:9" ht="11.25" hidden="1" customHeight="1" x14ac:dyDescent="0.2">
      <c r="A544" s="3237" t="s">
        <v>4475</v>
      </c>
      <c r="B544" s="3237" t="s">
        <v>3768</v>
      </c>
      <c r="C544" s="3237" t="s">
        <v>4461</v>
      </c>
      <c r="D544" s="3237" t="s">
        <v>4462</v>
      </c>
      <c r="E544" s="3237" t="s">
        <v>4476</v>
      </c>
      <c r="F544" s="3237" t="s">
        <v>3662</v>
      </c>
      <c r="G544" s="3237" t="s">
        <v>3221</v>
      </c>
      <c r="H544" s="3236" t="s">
        <v>4464</v>
      </c>
      <c r="I544" s="3236">
        <v>29.09</v>
      </c>
    </row>
    <row r="545" spans="1:9" ht="11.25" hidden="1" customHeight="1" x14ac:dyDescent="0.2">
      <c r="A545" s="3237" t="s">
        <v>4475</v>
      </c>
      <c r="B545" s="3237" t="s">
        <v>3769</v>
      </c>
      <c r="C545" s="3237" t="s">
        <v>4461</v>
      </c>
      <c r="D545" s="3237" t="s">
        <v>4462</v>
      </c>
      <c r="E545" s="3237" t="s">
        <v>4476</v>
      </c>
      <c r="F545" s="3237" t="s">
        <v>3662</v>
      </c>
      <c r="G545" s="3237" t="s">
        <v>3221</v>
      </c>
      <c r="H545" s="3236" t="s">
        <v>4464</v>
      </c>
      <c r="I545" s="3236">
        <v>29.09</v>
      </c>
    </row>
    <row r="546" spans="1:9" ht="11.25" hidden="1" customHeight="1" x14ac:dyDescent="0.2">
      <c r="A546" s="3237" t="s">
        <v>4475</v>
      </c>
      <c r="B546" s="3237" t="s">
        <v>3770</v>
      </c>
      <c r="C546" s="3237" t="s">
        <v>4461</v>
      </c>
      <c r="D546" s="3237" t="s">
        <v>4462</v>
      </c>
      <c r="E546" s="3237" t="s">
        <v>4476</v>
      </c>
      <c r="F546" s="3237" t="s">
        <v>3662</v>
      </c>
      <c r="G546" s="3237" t="s">
        <v>3221</v>
      </c>
      <c r="H546" s="3236" t="s">
        <v>4464</v>
      </c>
      <c r="I546" s="3236">
        <v>29.09</v>
      </c>
    </row>
    <row r="547" spans="1:9" ht="11.25" hidden="1" customHeight="1" x14ac:dyDescent="0.2">
      <c r="A547" s="3237" t="s">
        <v>4475</v>
      </c>
      <c r="B547" s="3237" t="s">
        <v>3771</v>
      </c>
      <c r="C547" s="3237" t="s">
        <v>4461</v>
      </c>
      <c r="D547" s="3237" t="s">
        <v>4462</v>
      </c>
      <c r="E547" s="3237" t="s">
        <v>4476</v>
      </c>
      <c r="F547" s="3237" t="s">
        <v>3662</v>
      </c>
      <c r="G547" s="3237" t="s">
        <v>3221</v>
      </c>
      <c r="H547" s="3236" t="s">
        <v>4464</v>
      </c>
      <c r="I547" s="3236">
        <v>29.09</v>
      </c>
    </row>
    <row r="548" spans="1:9" ht="11.25" hidden="1" customHeight="1" x14ac:dyDescent="0.2">
      <c r="A548" s="3237" t="s">
        <v>4475</v>
      </c>
      <c r="B548" s="3237" t="s">
        <v>3772</v>
      </c>
      <c r="C548" s="3237" t="s">
        <v>4461</v>
      </c>
      <c r="D548" s="3237" t="s">
        <v>4462</v>
      </c>
      <c r="E548" s="3237" t="s">
        <v>4476</v>
      </c>
      <c r="F548" s="3237" t="s">
        <v>3662</v>
      </c>
      <c r="G548" s="3237" t="s">
        <v>3221</v>
      </c>
      <c r="H548" s="3236" t="s">
        <v>4464</v>
      </c>
      <c r="I548" s="3236">
        <v>29.09</v>
      </c>
    </row>
    <row r="549" spans="1:9" ht="11.25" hidden="1" customHeight="1" x14ac:dyDescent="0.2">
      <c r="A549" s="3237" t="s">
        <v>4475</v>
      </c>
      <c r="B549" s="3237" t="s">
        <v>3773</v>
      </c>
      <c r="C549" s="3237" t="s">
        <v>4461</v>
      </c>
      <c r="D549" s="3237" t="s">
        <v>4462</v>
      </c>
      <c r="E549" s="3237" t="s">
        <v>4476</v>
      </c>
      <c r="F549" s="3237" t="s">
        <v>3662</v>
      </c>
      <c r="G549" s="3237" t="s">
        <v>3221</v>
      </c>
      <c r="H549" s="3236" t="s">
        <v>4464</v>
      </c>
      <c r="I549" s="3236">
        <v>29.09</v>
      </c>
    </row>
    <row r="550" spans="1:9" ht="11.25" hidden="1" customHeight="1" x14ac:dyDescent="0.2">
      <c r="A550" s="3237" t="s">
        <v>4475</v>
      </c>
      <c r="B550" s="3237" t="s">
        <v>3774</v>
      </c>
      <c r="C550" s="3237" t="s">
        <v>4461</v>
      </c>
      <c r="D550" s="3237" t="s">
        <v>4462</v>
      </c>
      <c r="E550" s="3237" t="s">
        <v>4476</v>
      </c>
      <c r="F550" s="3237" t="s">
        <v>3662</v>
      </c>
      <c r="G550" s="3237" t="s">
        <v>3221</v>
      </c>
      <c r="H550" s="3236" t="s">
        <v>4464</v>
      </c>
      <c r="I550" s="3236">
        <v>29.09</v>
      </c>
    </row>
    <row r="551" spans="1:9" ht="11.25" hidden="1" customHeight="1" x14ac:dyDescent="0.2">
      <c r="A551" s="3237" t="s">
        <v>4475</v>
      </c>
      <c r="B551" s="3237" t="s">
        <v>3775</v>
      </c>
      <c r="C551" s="3237" t="s">
        <v>4461</v>
      </c>
      <c r="D551" s="3237" t="s">
        <v>4462</v>
      </c>
      <c r="E551" s="3237" t="s">
        <v>4476</v>
      </c>
      <c r="F551" s="3237" t="s">
        <v>3662</v>
      </c>
      <c r="G551" s="3237" t="s">
        <v>3221</v>
      </c>
      <c r="H551" s="3236" t="s">
        <v>4464</v>
      </c>
      <c r="I551" s="3236">
        <v>29.09</v>
      </c>
    </row>
    <row r="552" spans="1:9" ht="11.25" hidden="1" customHeight="1" x14ac:dyDescent="0.2">
      <c r="A552" s="3237" t="s">
        <v>4475</v>
      </c>
      <c r="B552" s="3237" t="s">
        <v>3776</v>
      </c>
      <c r="C552" s="3237" t="s">
        <v>4461</v>
      </c>
      <c r="D552" s="3237" t="s">
        <v>4462</v>
      </c>
      <c r="E552" s="3237" t="s">
        <v>4476</v>
      </c>
      <c r="F552" s="3237" t="s">
        <v>3662</v>
      </c>
      <c r="G552" s="3237" t="s">
        <v>3221</v>
      </c>
      <c r="H552" s="3236" t="s">
        <v>4464</v>
      </c>
      <c r="I552" s="3236">
        <v>29.09</v>
      </c>
    </row>
    <row r="553" spans="1:9" ht="11.25" hidden="1" customHeight="1" x14ac:dyDescent="0.2">
      <c r="A553" s="3237" t="s">
        <v>4475</v>
      </c>
      <c r="B553" s="3237" t="s">
        <v>3777</v>
      </c>
      <c r="C553" s="3237" t="s">
        <v>4461</v>
      </c>
      <c r="D553" s="3237" t="s">
        <v>4462</v>
      </c>
      <c r="E553" s="3237" t="s">
        <v>4476</v>
      </c>
      <c r="F553" s="3237" t="s">
        <v>3662</v>
      </c>
      <c r="G553" s="3237" t="s">
        <v>3221</v>
      </c>
      <c r="H553" s="3236" t="s">
        <v>4464</v>
      </c>
      <c r="I553" s="3236">
        <v>29.09</v>
      </c>
    </row>
    <row r="554" spans="1:9" ht="11.25" hidden="1" customHeight="1" x14ac:dyDescent="0.2">
      <c r="A554" s="3237" t="s">
        <v>4475</v>
      </c>
      <c r="B554" s="3237" t="s">
        <v>3778</v>
      </c>
      <c r="C554" s="3237" t="s">
        <v>4461</v>
      </c>
      <c r="D554" s="3237" t="s">
        <v>4462</v>
      </c>
      <c r="E554" s="3237" t="s">
        <v>4476</v>
      </c>
      <c r="F554" s="3237" t="s">
        <v>3662</v>
      </c>
      <c r="G554" s="3237" t="s">
        <v>3221</v>
      </c>
      <c r="H554" s="3236" t="s">
        <v>4464</v>
      </c>
      <c r="I554" s="3236">
        <v>29.09</v>
      </c>
    </row>
    <row r="555" spans="1:9" ht="11.25" hidden="1" customHeight="1" x14ac:dyDescent="0.2">
      <c r="A555" s="3237" t="s">
        <v>4475</v>
      </c>
      <c r="B555" s="3237" t="s">
        <v>3779</v>
      </c>
      <c r="C555" s="3237" t="s">
        <v>4461</v>
      </c>
      <c r="D555" s="3237" t="s">
        <v>4462</v>
      </c>
      <c r="E555" s="3237" t="s">
        <v>4476</v>
      </c>
      <c r="F555" s="3237" t="s">
        <v>3662</v>
      </c>
      <c r="G555" s="3237" t="s">
        <v>3221</v>
      </c>
      <c r="H555" s="3236" t="s">
        <v>4464</v>
      </c>
      <c r="I555" s="3236">
        <v>29.09</v>
      </c>
    </row>
    <row r="556" spans="1:9" ht="11.25" hidden="1" customHeight="1" x14ac:dyDescent="0.2">
      <c r="A556" s="3237" t="s">
        <v>4475</v>
      </c>
      <c r="B556" s="3237" t="s">
        <v>3780</v>
      </c>
      <c r="C556" s="3237" t="s">
        <v>4461</v>
      </c>
      <c r="D556" s="3237" t="s">
        <v>4462</v>
      </c>
      <c r="E556" s="3237" t="s">
        <v>4476</v>
      </c>
      <c r="F556" s="3237" t="s">
        <v>3662</v>
      </c>
      <c r="G556" s="3237" t="s">
        <v>3221</v>
      </c>
      <c r="H556" s="3236" t="s">
        <v>4464</v>
      </c>
      <c r="I556" s="3236">
        <v>29.09</v>
      </c>
    </row>
    <row r="557" spans="1:9" ht="11.25" hidden="1" customHeight="1" x14ac:dyDescent="0.2">
      <c r="A557" s="3237" t="s">
        <v>4475</v>
      </c>
      <c r="B557" s="3237" t="s">
        <v>3781</v>
      </c>
      <c r="C557" s="3237" t="s">
        <v>4461</v>
      </c>
      <c r="D557" s="3237" t="s">
        <v>4462</v>
      </c>
      <c r="E557" s="3237" t="s">
        <v>4476</v>
      </c>
      <c r="F557" s="3237" t="s">
        <v>3662</v>
      </c>
      <c r="G557" s="3237" t="s">
        <v>3221</v>
      </c>
      <c r="H557" s="3236" t="s">
        <v>4464</v>
      </c>
      <c r="I557" s="3236">
        <v>29.09</v>
      </c>
    </row>
    <row r="558" spans="1:9" ht="11.25" hidden="1" customHeight="1" x14ac:dyDescent="0.2">
      <c r="A558" s="3237" t="s">
        <v>4475</v>
      </c>
      <c r="B558" s="3237" t="s">
        <v>3782</v>
      </c>
      <c r="C558" s="3237" t="s">
        <v>4461</v>
      </c>
      <c r="D558" s="3237" t="s">
        <v>4462</v>
      </c>
      <c r="E558" s="3237" t="s">
        <v>4476</v>
      </c>
      <c r="F558" s="3237" t="s">
        <v>3662</v>
      </c>
      <c r="G558" s="3237" t="s">
        <v>3221</v>
      </c>
      <c r="H558" s="3236" t="s">
        <v>4464</v>
      </c>
      <c r="I558" s="3236">
        <v>29.09</v>
      </c>
    </row>
    <row r="559" spans="1:9" ht="11.25" hidden="1" customHeight="1" x14ac:dyDescent="0.2">
      <c r="A559" s="3237" t="s">
        <v>4475</v>
      </c>
      <c r="B559" s="3237" t="s">
        <v>3783</v>
      </c>
      <c r="C559" s="3237" t="s">
        <v>4461</v>
      </c>
      <c r="D559" s="3237" t="s">
        <v>4462</v>
      </c>
      <c r="E559" s="3237" t="s">
        <v>4476</v>
      </c>
      <c r="F559" s="3237" t="s">
        <v>3662</v>
      </c>
      <c r="G559" s="3237" t="s">
        <v>3221</v>
      </c>
      <c r="H559" s="3236" t="s">
        <v>4464</v>
      </c>
      <c r="I559" s="3236">
        <v>29.09</v>
      </c>
    </row>
    <row r="560" spans="1:9" ht="11.25" hidden="1" customHeight="1" x14ac:dyDescent="0.2">
      <c r="A560" s="3237" t="s">
        <v>4475</v>
      </c>
      <c r="B560" s="3237" t="s">
        <v>3784</v>
      </c>
      <c r="C560" s="3237" t="s">
        <v>4461</v>
      </c>
      <c r="D560" s="3237" t="s">
        <v>4462</v>
      </c>
      <c r="E560" s="3237" t="s">
        <v>4476</v>
      </c>
      <c r="F560" s="3237" t="s">
        <v>3662</v>
      </c>
      <c r="G560" s="3237" t="s">
        <v>3221</v>
      </c>
      <c r="H560" s="3236" t="s">
        <v>4464</v>
      </c>
      <c r="I560" s="3236">
        <v>29.09</v>
      </c>
    </row>
    <row r="561" spans="1:9" ht="11.25" hidden="1" customHeight="1" x14ac:dyDescent="0.2">
      <c r="A561" s="3237" t="s">
        <v>4475</v>
      </c>
      <c r="B561" s="3237" t="s">
        <v>3785</v>
      </c>
      <c r="C561" s="3237" t="s">
        <v>4461</v>
      </c>
      <c r="D561" s="3237" t="s">
        <v>4462</v>
      </c>
      <c r="E561" s="3237" t="s">
        <v>4476</v>
      </c>
      <c r="F561" s="3237" t="s">
        <v>3662</v>
      </c>
      <c r="G561" s="3237" t="s">
        <v>3221</v>
      </c>
      <c r="H561" s="3236" t="s">
        <v>4464</v>
      </c>
      <c r="I561" s="3236">
        <v>29.09</v>
      </c>
    </row>
    <row r="562" spans="1:9" ht="11.25" hidden="1" customHeight="1" x14ac:dyDescent="0.2">
      <c r="A562" s="3237" t="s">
        <v>4475</v>
      </c>
      <c r="B562" s="3237" t="s">
        <v>3786</v>
      </c>
      <c r="C562" s="3237" t="s">
        <v>4461</v>
      </c>
      <c r="D562" s="3237" t="s">
        <v>4462</v>
      </c>
      <c r="E562" s="3237" t="s">
        <v>4476</v>
      </c>
      <c r="F562" s="3237" t="s">
        <v>3662</v>
      </c>
      <c r="G562" s="3237" t="s">
        <v>3221</v>
      </c>
      <c r="H562" s="3236" t="s">
        <v>4464</v>
      </c>
      <c r="I562" s="3236">
        <v>29.09</v>
      </c>
    </row>
    <row r="563" spans="1:9" ht="11.25" hidden="1" customHeight="1" x14ac:dyDescent="0.2">
      <c r="A563" s="3237" t="s">
        <v>4475</v>
      </c>
      <c r="B563" s="3237" t="s">
        <v>3787</v>
      </c>
      <c r="C563" s="3237" t="s">
        <v>4461</v>
      </c>
      <c r="D563" s="3237" t="s">
        <v>4462</v>
      </c>
      <c r="E563" s="3237" t="s">
        <v>4476</v>
      </c>
      <c r="F563" s="3237" t="s">
        <v>3662</v>
      </c>
      <c r="G563" s="3237" t="s">
        <v>3221</v>
      </c>
      <c r="H563" s="3236" t="s">
        <v>4464</v>
      </c>
      <c r="I563" s="3236">
        <v>29.09</v>
      </c>
    </row>
    <row r="564" spans="1:9" ht="11.25" hidden="1" customHeight="1" x14ac:dyDescent="0.2">
      <c r="A564" s="3237" t="s">
        <v>4475</v>
      </c>
      <c r="B564" s="3237" t="s">
        <v>3788</v>
      </c>
      <c r="C564" s="3237" t="s">
        <v>4461</v>
      </c>
      <c r="D564" s="3237" t="s">
        <v>4462</v>
      </c>
      <c r="E564" s="3237" t="s">
        <v>4476</v>
      </c>
      <c r="F564" s="3237" t="s">
        <v>3662</v>
      </c>
      <c r="G564" s="3237" t="s">
        <v>3221</v>
      </c>
      <c r="H564" s="3236" t="s">
        <v>4464</v>
      </c>
      <c r="I564" s="3236">
        <v>29.09</v>
      </c>
    </row>
    <row r="565" spans="1:9" ht="11.25" hidden="1" customHeight="1" x14ac:dyDescent="0.2">
      <c r="A565" s="3237" t="s">
        <v>4475</v>
      </c>
      <c r="B565" s="3237" t="s">
        <v>3789</v>
      </c>
      <c r="C565" s="3237" t="s">
        <v>4461</v>
      </c>
      <c r="D565" s="3237" t="s">
        <v>4462</v>
      </c>
      <c r="E565" s="3237" t="s">
        <v>4476</v>
      </c>
      <c r="F565" s="3237" t="s">
        <v>3662</v>
      </c>
      <c r="G565" s="3237" t="s">
        <v>3221</v>
      </c>
      <c r="H565" s="3236" t="s">
        <v>4464</v>
      </c>
      <c r="I565" s="3236">
        <v>29.09</v>
      </c>
    </row>
    <row r="566" spans="1:9" ht="11.25" hidden="1" customHeight="1" x14ac:dyDescent="0.2">
      <c r="A566" s="3237" t="s">
        <v>4475</v>
      </c>
      <c r="B566" s="3237" t="s">
        <v>3790</v>
      </c>
      <c r="C566" s="3237" t="s">
        <v>4461</v>
      </c>
      <c r="D566" s="3237" t="s">
        <v>4462</v>
      </c>
      <c r="E566" s="3237" t="s">
        <v>4476</v>
      </c>
      <c r="F566" s="3237" t="s">
        <v>3662</v>
      </c>
      <c r="G566" s="3237" t="s">
        <v>3221</v>
      </c>
      <c r="H566" s="3236" t="s">
        <v>4464</v>
      </c>
      <c r="I566" s="3236">
        <v>29.09</v>
      </c>
    </row>
    <row r="567" spans="1:9" ht="11.25" hidden="1" customHeight="1" x14ac:dyDescent="0.2">
      <c r="A567" s="3237" t="s">
        <v>4475</v>
      </c>
      <c r="B567" s="3237" t="s">
        <v>3791</v>
      </c>
      <c r="C567" s="3237" t="s">
        <v>4461</v>
      </c>
      <c r="D567" s="3237" t="s">
        <v>4462</v>
      </c>
      <c r="E567" s="3237" t="s">
        <v>4476</v>
      </c>
      <c r="F567" s="3237" t="s">
        <v>3662</v>
      </c>
      <c r="G567" s="3237" t="s">
        <v>3221</v>
      </c>
      <c r="H567" s="3236" t="s">
        <v>4464</v>
      </c>
      <c r="I567" s="3236">
        <v>29.09</v>
      </c>
    </row>
    <row r="568" spans="1:9" ht="11.25" hidden="1" customHeight="1" x14ac:dyDescent="0.2">
      <c r="A568" s="3237" t="s">
        <v>4475</v>
      </c>
      <c r="B568" s="3237" t="s">
        <v>3792</v>
      </c>
      <c r="C568" s="3237" t="s">
        <v>4461</v>
      </c>
      <c r="D568" s="3237" t="s">
        <v>4462</v>
      </c>
      <c r="E568" s="3237" t="s">
        <v>4476</v>
      </c>
      <c r="F568" s="3237" t="s">
        <v>3662</v>
      </c>
      <c r="G568" s="3237" t="s">
        <v>3221</v>
      </c>
      <c r="H568" s="3236" t="s">
        <v>4464</v>
      </c>
      <c r="I568" s="3236">
        <v>29.09</v>
      </c>
    </row>
    <row r="569" spans="1:9" ht="11.25" hidden="1" customHeight="1" x14ac:dyDescent="0.2">
      <c r="A569" s="3237" t="s">
        <v>4475</v>
      </c>
      <c r="B569" s="3237" t="s">
        <v>3793</v>
      </c>
      <c r="C569" s="3237" t="s">
        <v>4461</v>
      </c>
      <c r="D569" s="3237" t="s">
        <v>4462</v>
      </c>
      <c r="E569" s="3237" t="s">
        <v>4476</v>
      </c>
      <c r="F569" s="3237" t="s">
        <v>3662</v>
      </c>
      <c r="G569" s="3237" t="s">
        <v>3221</v>
      </c>
      <c r="H569" s="3236" t="s">
        <v>4464</v>
      </c>
      <c r="I569" s="3236">
        <v>29.09</v>
      </c>
    </row>
    <row r="570" spans="1:9" ht="11.25" hidden="1" customHeight="1" x14ac:dyDescent="0.2">
      <c r="A570" s="3237" t="s">
        <v>4475</v>
      </c>
      <c r="B570" s="3237" t="s">
        <v>3794</v>
      </c>
      <c r="C570" s="3237" t="s">
        <v>4461</v>
      </c>
      <c r="D570" s="3237" t="s">
        <v>4462</v>
      </c>
      <c r="E570" s="3237" t="s">
        <v>4476</v>
      </c>
      <c r="F570" s="3237" t="s">
        <v>3662</v>
      </c>
      <c r="G570" s="3237" t="s">
        <v>3221</v>
      </c>
      <c r="H570" s="3236" t="s">
        <v>4464</v>
      </c>
      <c r="I570" s="3236">
        <v>29.09</v>
      </c>
    </row>
    <row r="571" spans="1:9" ht="11.25" hidden="1" customHeight="1" x14ac:dyDescent="0.2">
      <c r="A571" s="3237" t="s">
        <v>4475</v>
      </c>
      <c r="B571" s="3237" t="s">
        <v>3795</v>
      </c>
      <c r="C571" s="3237" t="s">
        <v>4461</v>
      </c>
      <c r="D571" s="3237" t="s">
        <v>4462</v>
      </c>
      <c r="E571" s="3237" t="s">
        <v>4476</v>
      </c>
      <c r="F571" s="3237" t="s">
        <v>3662</v>
      </c>
      <c r="G571" s="3237" t="s">
        <v>3221</v>
      </c>
      <c r="H571" s="3236" t="s">
        <v>4464</v>
      </c>
      <c r="I571" s="3236">
        <v>29.09</v>
      </c>
    </row>
    <row r="572" spans="1:9" ht="11.25" hidden="1" customHeight="1" x14ac:dyDescent="0.2">
      <c r="A572" s="3237" t="s">
        <v>4475</v>
      </c>
      <c r="B572" s="3237" t="s">
        <v>3796</v>
      </c>
      <c r="C572" s="3237" t="s">
        <v>4461</v>
      </c>
      <c r="D572" s="3237" t="s">
        <v>4462</v>
      </c>
      <c r="E572" s="3237" t="s">
        <v>4476</v>
      </c>
      <c r="F572" s="3237" t="s">
        <v>3662</v>
      </c>
      <c r="G572" s="3237" t="s">
        <v>3221</v>
      </c>
      <c r="H572" s="3236" t="s">
        <v>4464</v>
      </c>
      <c r="I572" s="3236">
        <v>29.09</v>
      </c>
    </row>
    <row r="573" spans="1:9" ht="11.25" hidden="1" customHeight="1" x14ac:dyDescent="0.2">
      <c r="A573" s="3237" t="s">
        <v>4475</v>
      </c>
      <c r="B573" s="3237" t="s">
        <v>3797</v>
      </c>
      <c r="C573" s="3237" t="s">
        <v>4461</v>
      </c>
      <c r="D573" s="3237" t="s">
        <v>4462</v>
      </c>
      <c r="E573" s="3237" t="s">
        <v>4476</v>
      </c>
      <c r="F573" s="3237" t="s">
        <v>3662</v>
      </c>
      <c r="G573" s="3237" t="s">
        <v>3221</v>
      </c>
      <c r="H573" s="3236" t="s">
        <v>4464</v>
      </c>
      <c r="I573" s="3236">
        <v>29.09</v>
      </c>
    </row>
    <row r="574" spans="1:9" ht="11.25" hidden="1" customHeight="1" x14ac:dyDescent="0.2">
      <c r="A574" s="3237" t="s">
        <v>4475</v>
      </c>
      <c r="B574" s="3237" t="s">
        <v>3798</v>
      </c>
      <c r="C574" s="3237" t="s">
        <v>4461</v>
      </c>
      <c r="D574" s="3237" t="s">
        <v>4462</v>
      </c>
      <c r="E574" s="3237" t="s">
        <v>4476</v>
      </c>
      <c r="F574" s="3237" t="s">
        <v>3662</v>
      </c>
      <c r="G574" s="3237" t="s">
        <v>3221</v>
      </c>
      <c r="H574" s="3236" t="s">
        <v>4464</v>
      </c>
      <c r="I574" s="3236">
        <v>29.09</v>
      </c>
    </row>
    <row r="575" spans="1:9" ht="11.25" hidden="1" customHeight="1" x14ac:dyDescent="0.2">
      <c r="A575" s="3237" t="s">
        <v>4475</v>
      </c>
      <c r="B575" s="3237" t="s">
        <v>3799</v>
      </c>
      <c r="C575" s="3237" t="s">
        <v>4461</v>
      </c>
      <c r="D575" s="3237" t="s">
        <v>4462</v>
      </c>
      <c r="E575" s="3237" t="s">
        <v>4476</v>
      </c>
      <c r="F575" s="3237" t="s">
        <v>3662</v>
      </c>
      <c r="G575" s="3237" t="s">
        <v>3221</v>
      </c>
      <c r="H575" s="3236" t="s">
        <v>4464</v>
      </c>
      <c r="I575" s="3236">
        <v>29.09</v>
      </c>
    </row>
    <row r="576" spans="1:9" ht="11.25" hidden="1" customHeight="1" x14ac:dyDescent="0.2">
      <c r="A576" s="3237" t="s">
        <v>4475</v>
      </c>
      <c r="B576" s="3237" t="s">
        <v>3800</v>
      </c>
      <c r="C576" s="3237" t="s">
        <v>4461</v>
      </c>
      <c r="D576" s="3237" t="s">
        <v>4462</v>
      </c>
      <c r="E576" s="3237" t="s">
        <v>4476</v>
      </c>
      <c r="F576" s="3237" t="s">
        <v>3662</v>
      </c>
      <c r="G576" s="3237" t="s">
        <v>3221</v>
      </c>
      <c r="H576" s="3236" t="s">
        <v>4464</v>
      </c>
      <c r="I576" s="3236">
        <v>29.09</v>
      </c>
    </row>
    <row r="577" spans="1:9" ht="11.25" hidden="1" customHeight="1" x14ac:dyDescent="0.2">
      <c r="A577" s="3237" t="s">
        <v>4475</v>
      </c>
      <c r="B577" s="3237" t="s">
        <v>3801</v>
      </c>
      <c r="C577" s="3237" t="s">
        <v>4461</v>
      </c>
      <c r="D577" s="3237" t="s">
        <v>4462</v>
      </c>
      <c r="E577" s="3237" t="s">
        <v>4476</v>
      </c>
      <c r="F577" s="3237" t="s">
        <v>3662</v>
      </c>
      <c r="G577" s="3237" t="s">
        <v>3221</v>
      </c>
      <c r="H577" s="3236" t="s">
        <v>4464</v>
      </c>
      <c r="I577" s="3236">
        <v>29.09</v>
      </c>
    </row>
    <row r="578" spans="1:9" ht="11.25" hidden="1" customHeight="1" x14ac:dyDescent="0.2">
      <c r="A578" s="3237" t="s">
        <v>4475</v>
      </c>
      <c r="B578" s="3237" t="s">
        <v>3802</v>
      </c>
      <c r="C578" s="3237" t="s">
        <v>4461</v>
      </c>
      <c r="D578" s="3237" t="s">
        <v>4462</v>
      </c>
      <c r="E578" s="3237" t="s">
        <v>4476</v>
      </c>
      <c r="F578" s="3237" t="s">
        <v>3662</v>
      </c>
      <c r="G578" s="3237" t="s">
        <v>3221</v>
      </c>
      <c r="H578" s="3236" t="s">
        <v>4464</v>
      </c>
      <c r="I578" s="3236">
        <v>29.09</v>
      </c>
    </row>
    <row r="579" spans="1:9" ht="11.25" hidden="1" customHeight="1" x14ac:dyDescent="0.2">
      <c r="A579" s="3237" t="s">
        <v>4475</v>
      </c>
      <c r="B579" s="3237" t="s">
        <v>3803</v>
      </c>
      <c r="C579" s="3237" t="s">
        <v>4461</v>
      </c>
      <c r="D579" s="3237" t="s">
        <v>4462</v>
      </c>
      <c r="E579" s="3237" t="s">
        <v>4476</v>
      </c>
      <c r="F579" s="3237" t="s">
        <v>3662</v>
      </c>
      <c r="G579" s="3237" t="s">
        <v>3221</v>
      </c>
      <c r="H579" s="3236" t="s">
        <v>4464</v>
      </c>
      <c r="I579" s="3236">
        <v>29.09</v>
      </c>
    </row>
    <row r="580" spans="1:9" ht="11.25" hidden="1" customHeight="1" x14ac:dyDescent="0.2">
      <c r="A580" s="3237" t="s">
        <v>4475</v>
      </c>
      <c r="B580" s="3237" t="s">
        <v>3804</v>
      </c>
      <c r="C580" s="3237" t="s">
        <v>4461</v>
      </c>
      <c r="D580" s="3237" t="s">
        <v>4462</v>
      </c>
      <c r="E580" s="3237" t="s">
        <v>4476</v>
      </c>
      <c r="F580" s="3237" t="s">
        <v>3662</v>
      </c>
      <c r="G580" s="3237" t="s">
        <v>3221</v>
      </c>
      <c r="H580" s="3236" t="s">
        <v>4464</v>
      </c>
      <c r="I580" s="3236">
        <v>29.09</v>
      </c>
    </row>
    <row r="581" spans="1:9" ht="11.25" hidden="1" customHeight="1" x14ac:dyDescent="0.2">
      <c r="A581" s="3237" t="s">
        <v>4475</v>
      </c>
      <c r="B581" s="3237" t="s">
        <v>3805</v>
      </c>
      <c r="C581" s="3237" t="s">
        <v>4461</v>
      </c>
      <c r="D581" s="3237" t="s">
        <v>4462</v>
      </c>
      <c r="E581" s="3237" t="s">
        <v>4476</v>
      </c>
      <c r="F581" s="3237" t="s">
        <v>3662</v>
      </c>
      <c r="G581" s="3237" t="s">
        <v>3221</v>
      </c>
      <c r="H581" s="3236" t="s">
        <v>4464</v>
      </c>
      <c r="I581" s="3236">
        <v>29.09</v>
      </c>
    </row>
    <row r="582" spans="1:9" ht="11.25" hidden="1" customHeight="1" x14ac:dyDescent="0.2">
      <c r="A582" s="3237" t="s">
        <v>4475</v>
      </c>
      <c r="B582" s="3237" t="s">
        <v>3806</v>
      </c>
      <c r="C582" s="3237" t="s">
        <v>4461</v>
      </c>
      <c r="D582" s="3237" t="s">
        <v>4462</v>
      </c>
      <c r="E582" s="3237" t="s">
        <v>4476</v>
      </c>
      <c r="F582" s="3237" t="s">
        <v>3662</v>
      </c>
      <c r="G582" s="3237" t="s">
        <v>3221</v>
      </c>
      <c r="H582" s="3236" t="s">
        <v>4464</v>
      </c>
      <c r="I582" s="3236">
        <v>29.09</v>
      </c>
    </row>
    <row r="583" spans="1:9" ht="11.25" hidden="1" customHeight="1" x14ac:dyDescent="0.2">
      <c r="A583" s="3237" t="s">
        <v>4475</v>
      </c>
      <c r="B583" s="3237" t="s">
        <v>3807</v>
      </c>
      <c r="C583" s="3237" t="s">
        <v>4461</v>
      </c>
      <c r="D583" s="3237" t="s">
        <v>4462</v>
      </c>
      <c r="E583" s="3237" t="s">
        <v>4476</v>
      </c>
      <c r="F583" s="3237" t="s">
        <v>3662</v>
      </c>
      <c r="G583" s="3237" t="s">
        <v>3221</v>
      </c>
      <c r="H583" s="3236" t="s">
        <v>4464</v>
      </c>
      <c r="I583" s="3236">
        <v>29.09</v>
      </c>
    </row>
    <row r="584" spans="1:9" ht="11.25" hidden="1" customHeight="1" x14ac:dyDescent="0.2">
      <c r="A584" s="3237" t="s">
        <v>4475</v>
      </c>
      <c r="B584" s="3237" t="s">
        <v>3808</v>
      </c>
      <c r="C584" s="3237" t="s">
        <v>4461</v>
      </c>
      <c r="D584" s="3237" t="s">
        <v>4462</v>
      </c>
      <c r="E584" s="3237" t="s">
        <v>4476</v>
      </c>
      <c r="F584" s="3237" t="s">
        <v>3662</v>
      </c>
      <c r="G584" s="3237" t="s">
        <v>3221</v>
      </c>
      <c r="H584" s="3236" t="s">
        <v>4464</v>
      </c>
      <c r="I584" s="3236">
        <v>29.09</v>
      </c>
    </row>
    <row r="585" spans="1:9" ht="11.25" hidden="1" customHeight="1" x14ac:dyDescent="0.2">
      <c r="A585" s="3237" t="s">
        <v>4475</v>
      </c>
      <c r="B585" s="3237" t="s">
        <v>3809</v>
      </c>
      <c r="C585" s="3237" t="s">
        <v>4461</v>
      </c>
      <c r="D585" s="3237" t="s">
        <v>4462</v>
      </c>
      <c r="E585" s="3237" t="s">
        <v>4476</v>
      </c>
      <c r="F585" s="3237" t="s">
        <v>3662</v>
      </c>
      <c r="G585" s="3237" t="s">
        <v>3221</v>
      </c>
      <c r="H585" s="3236" t="s">
        <v>4464</v>
      </c>
      <c r="I585" s="3236">
        <v>29.09</v>
      </c>
    </row>
    <row r="586" spans="1:9" ht="11.25" hidden="1" customHeight="1" x14ac:dyDescent="0.2">
      <c r="A586" s="3237" t="s">
        <v>4475</v>
      </c>
      <c r="B586" s="3237" t="s">
        <v>3810</v>
      </c>
      <c r="C586" s="3237" t="s">
        <v>4461</v>
      </c>
      <c r="D586" s="3237" t="s">
        <v>4462</v>
      </c>
      <c r="E586" s="3237" t="s">
        <v>4476</v>
      </c>
      <c r="F586" s="3237" t="s">
        <v>3662</v>
      </c>
      <c r="G586" s="3237" t="s">
        <v>3221</v>
      </c>
      <c r="H586" s="3236" t="s">
        <v>4464</v>
      </c>
      <c r="I586" s="3236">
        <v>29.09</v>
      </c>
    </row>
    <row r="587" spans="1:9" ht="11.25" hidden="1" customHeight="1" x14ac:dyDescent="0.2">
      <c r="A587" s="3237" t="s">
        <v>4475</v>
      </c>
      <c r="B587" s="3237" t="s">
        <v>3811</v>
      </c>
      <c r="C587" s="3237" t="s">
        <v>4461</v>
      </c>
      <c r="D587" s="3237" t="s">
        <v>4462</v>
      </c>
      <c r="E587" s="3237" t="s">
        <v>4476</v>
      </c>
      <c r="F587" s="3237" t="s">
        <v>3662</v>
      </c>
      <c r="G587" s="3237" t="s">
        <v>3221</v>
      </c>
      <c r="H587" s="3236" t="s">
        <v>4464</v>
      </c>
      <c r="I587" s="3236">
        <v>29.09</v>
      </c>
    </row>
    <row r="588" spans="1:9" ht="11.25" hidden="1" customHeight="1" x14ac:dyDescent="0.2">
      <c r="A588" s="3237" t="s">
        <v>4475</v>
      </c>
      <c r="B588" s="3237" t="s">
        <v>3812</v>
      </c>
      <c r="C588" s="3237" t="s">
        <v>4461</v>
      </c>
      <c r="D588" s="3237" t="s">
        <v>4462</v>
      </c>
      <c r="E588" s="3237" t="s">
        <v>4476</v>
      </c>
      <c r="F588" s="3237" t="s">
        <v>3662</v>
      </c>
      <c r="G588" s="3237" t="s">
        <v>3221</v>
      </c>
      <c r="H588" s="3236" t="s">
        <v>4464</v>
      </c>
      <c r="I588" s="3236">
        <v>29.09</v>
      </c>
    </row>
    <row r="589" spans="1:9" ht="11.25" hidden="1" customHeight="1" x14ac:dyDescent="0.2">
      <c r="A589" s="3237" t="s">
        <v>4475</v>
      </c>
      <c r="B589" s="3237" t="s">
        <v>3813</v>
      </c>
      <c r="C589" s="3237" t="s">
        <v>4461</v>
      </c>
      <c r="D589" s="3237" t="s">
        <v>4462</v>
      </c>
      <c r="E589" s="3237" t="s">
        <v>4476</v>
      </c>
      <c r="F589" s="3237" t="s">
        <v>3662</v>
      </c>
      <c r="G589" s="3237" t="s">
        <v>3221</v>
      </c>
      <c r="H589" s="3236" t="s">
        <v>4464</v>
      </c>
      <c r="I589" s="3236">
        <v>29.09</v>
      </c>
    </row>
    <row r="590" spans="1:9" ht="11.25" hidden="1" customHeight="1" x14ac:dyDescent="0.2">
      <c r="A590" s="3237" t="s">
        <v>4475</v>
      </c>
      <c r="B590" s="3237" t="s">
        <v>3814</v>
      </c>
      <c r="C590" s="3237" t="s">
        <v>4461</v>
      </c>
      <c r="D590" s="3237" t="s">
        <v>4462</v>
      </c>
      <c r="E590" s="3237" t="s">
        <v>4476</v>
      </c>
      <c r="F590" s="3237" t="s">
        <v>3662</v>
      </c>
      <c r="G590" s="3237" t="s">
        <v>3221</v>
      </c>
      <c r="H590" s="3236" t="s">
        <v>4464</v>
      </c>
      <c r="I590" s="3236">
        <v>29.09</v>
      </c>
    </row>
    <row r="591" spans="1:9" ht="11.25" hidden="1" customHeight="1" x14ac:dyDescent="0.2">
      <c r="A591" s="3237" t="s">
        <v>4475</v>
      </c>
      <c r="B591" s="3237" t="s">
        <v>3815</v>
      </c>
      <c r="C591" s="3237" t="s">
        <v>4461</v>
      </c>
      <c r="D591" s="3237" t="s">
        <v>4462</v>
      </c>
      <c r="E591" s="3237" t="s">
        <v>4476</v>
      </c>
      <c r="F591" s="3237" t="s">
        <v>3662</v>
      </c>
      <c r="G591" s="3237" t="s">
        <v>3221</v>
      </c>
      <c r="H591" s="3236" t="s">
        <v>4464</v>
      </c>
      <c r="I591" s="3236">
        <v>29.09</v>
      </c>
    </row>
    <row r="592" spans="1:9" ht="11.25" hidden="1" customHeight="1" x14ac:dyDescent="0.2">
      <c r="A592" s="3237" t="s">
        <v>4475</v>
      </c>
      <c r="B592" s="3237" t="s">
        <v>3816</v>
      </c>
      <c r="C592" s="3237" t="s">
        <v>4461</v>
      </c>
      <c r="D592" s="3237" t="s">
        <v>4462</v>
      </c>
      <c r="E592" s="3237" t="s">
        <v>4476</v>
      </c>
      <c r="F592" s="3237" t="s">
        <v>3662</v>
      </c>
      <c r="G592" s="3237" t="s">
        <v>3221</v>
      </c>
      <c r="H592" s="3236" t="s">
        <v>4464</v>
      </c>
      <c r="I592" s="3236">
        <v>29.09</v>
      </c>
    </row>
    <row r="593" spans="1:9" ht="11.25" hidden="1" customHeight="1" x14ac:dyDescent="0.2">
      <c r="A593" s="3237" t="s">
        <v>4475</v>
      </c>
      <c r="B593" s="3237" t="s">
        <v>3817</v>
      </c>
      <c r="C593" s="3237" t="s">
        <v>4461</v>
      </c>
      <c r="D593" s="3237" t="s">
        <v>4462</v>
      </c>
      <c r="E593" s="3237" t="s">
        <v>4476</v>
      </c>
      <c r="F593" s="3237" t="s">
        <v>3662</v>
      </c>
      <c r="G593" s="3237" t="s">
        <v>3221</v>
      </c>
      <c r="H593" s="3236" t="s">
        <v>4464</v>
      </c>
      <c r="I593" s="3236">
        <v>29.09</v>
      </c>
    </row>
    <row r="594" spans="1:9" ht="11.25" hidden="1" customHeight="1" x14ac:dyDescent="0.2">
      <c r="A594" s="3237" t="s">
        <v>4475</v>
      </c>
      <c r="B594" s="3237" t="s">
        <v>3818</v>
      </c>
      <c r="C594" s="3237" t="s">
        <v>4461</v>
      </c>
      <c r="D594" s="3237" t="s">
        <v>4462</v>
      </c>
      <c r="E594" s="3237" t="s">
        <v>4476</v>
      </c>
      <c r="F594" s="3237" t="s">
        <v>3662</v>
      </c>
      <c r="G594" s="3237" t="s">
        <v>3221</v>
      </c>
      <c r="H594" s="3236" t="s">
        <v>4464</v>
      </c>
      <c r="I594" s="3236">
        <v>29.09</v>
      </c>
    </row>
    <row r="595" spans="1:9" ht="11.25" hidden="1" customHeight="1" x14ac:dyDescent="0.2">
      <c r="A595" s="3237" t="s">
        <v>4475</v>
      </c>
      <c r="B595" s="3237" t="s">
        <v>3819</v>
      </c>
      <c r="C595" s="3237" t="s">
        <v>4461</v>
      </c>
      <c r="D595" s="3237" t="s">
        <v>4462</v>
      </c>
      <c r="E595" s="3237" t="s">
        <v>4476</v>
      </c>
      <c r="F595" s="3237" t="s">
        <v>3662</v>
      </c>
      <c r="G595" s="3237" t="s">
        <v>3221</v>
      </c>
      <c r="H595" s="3236" t="s">
        <v>4464</v>
      </c>
      <c r="I595" s="3236">
        <v>29.09</v>
      </c>
    </row>
    <row r="596" spans="1:9" ht="11.25" hidden="1" customHeight="1" x14ac:dyDescent="0.2">
      <c r="A596" s="3237" t="s">
        <v>4475</v>
      </c>
      <c r="B596" s="3237" t="s">
        <v>3820</v>
      </c>
      <c r="C596" s="3237" t="s">
        <v>4461</v>
      </c>
      <c r="D596" s="3237" t="s">
        <v>4462</v>
      </c>
      <c r="E596" s="3237" t="s">
        <v>4476</v>
      </c>
      <c r="F596" s="3237" t="s">
        <v>3662</v>
      </c>
      <c r="G596" s="3237" t="s">
        <v>3221</v>
      </c>
      <c r="H596" s="3236" t="s">
        <v>4464</v>
      </c>
      <c r="I596" s="3236">
        <v>29.09</v>
      </c>
    </row>
    <row r="597" spans="1:9" ht="11.25" hidden="1" customHeight="1" x14ac:dyDescent="0.2">
      <c r="A597" s="3237" t="s">
        <v>4475</v>
      </c>
      <c r="B597" s="3237" t="s">
        <v>3821</v>
      </c>
      <c r="C597" s="3237" t="s">
        <v>4461</v>
      </c>
      <c r="D597" s="3237" t="s">
        <v>4462</v>
      </c>
      <c r="E597" s="3237" t="s">
        <v>4476</v>
      </c>
      <c r="F597" s="3237" t="s">
        <v>3662</v>
      </c>
      <c r="G597" s="3237" t="s">
        <v>3221</v>
      </c>
      <c r="H597" s="3236" t="s">
        <v>4464</v>
      </c>
      <c r="I597" s="3236">
        <v>29.09</v>
      </c>
    </row>
    <row r="598" spans="1:9" ht="11.25" hidden="1" customHeight="1" x14ac:dyDescent="0.2">
      <c r="A598" s="3237" t="s">
        <v>4475</v>
      </c>
      <c r="B598" s="3237" t="s">
        <v>3822</v>
      </c>
      <c r="C598" s="3237" t="s">
        <v>4461</v>
      </c>
      <c r="D598" s="3237" t="s">
        <v>4462</v>
      </c>
      <c r="E598" s="3237" t="s">
        <v>4476</v>
      </c>
      <c r="F598" s="3237" t="s">
        <v>3662</v>
      </c>
      <c r="G598" s="3237" t="s">
        <v>3221</v>
      </c>
      <c r="H598" s="3236" t="s">
        <v>4464</v>
      </c>
      <c r="I598" s="3236">
        <v>29.09</v>
      </c>
    </row>
    <row r="599" spans="1:9" ht="11.25" hidden="1" customHeight="1" x14ac:dyDescent="0.2">
      <c r="A599" s="3237" t="s">
        <v>4475</v>
      </c>
      <c r="B599" s="3237" t="s">
        <v>3823</v>
      </c>
      <c r="C599" s="3237" t="s">
        <v>4461</v>
      </c>
      <c r="D599" s="3237" t="s">
        <v>4462</v>
      </c>
      <c r="E599" s="3237" t="s">
        <v>4476</v>
      </c>
      <c r="F599" s="3237" t="s">
        <v>3662</v>
      </c>
      <c r="G599" s="3237" t="s">
        <v>3221</v>
      </c>
      <c r="H599" s="3236" t="s">
        <v>4464</v>
      </c>
      <c r="I599" s="3236">
        <v>29.09</v>
      </c>
    </row>
    <row r="600" spans="1:9" ht="11.25" hidden="1" customHeight="1" x14ac:dyDescent="0.2">
      <c r="A600" s="3237" t="s">
        <v>4475</v>
      </c>
      <c r="B600" s="3237" t="s">
        <v>3824</v>
      </c>
      <c r="C600" s="3237" t="s">
        <v>4461</v>
      </c>
      <c r="D600" s="3237" t="s">
        <v>4462</v>
      </c>
      <c r="E600" s="3237" t="s">
        <v>4476</v>
      </c>
      <c r="F600" s="3237" t="s">
        <v>3662</v>
      </c>
      <c r="G600" s="3237" t="s">
        <v>3221</v>
      </c>
      <c r="H600" s="3236" t="s">
        <v>4464</v>
      </c>
      <c r="I600" s="3236">
        <v>29.09</v>
      </c>
    </row>
    <row r="601" spans="1:9" ht="11.25" hidden="1" customHeight="1" x14ac:dyDescent="0.2">
      <c r="A601" s="3237" t="s">
        <v>4475</v>
      </c>
      <c r="B601" s="3237" t="s">
        <v>3825</v>
      </c>
      <c r="C601" s="3237" t="s">
        <v>4461</v>
      </c>
      <c r="D601" s="3237" t="s">
        <v>4462</v>
      </c>
      <c r="E601" s="3237" t="s">
        <v>4476</v>
      </c>
      <c r="F601" s="3237" t="s">
        <v>3662</v>
      </c>
      <c r="G601" s="3237" t="s">
        <v>3221</v>
      </c>
      <c r="H601" s="3236" t="s">
        <v>4464</v>
      </c>
      <c r="I601" s="3236">
        <v>29.09</v>
      </c>
    </row>
    <row r="602" spans="1:9" ht="11.25" hidden="1" customHeight="1" x14ac:dyDescent="0.2">
      <c r="A602" s="3237" t="s">
        <v>4475</v>
      </c>
      <c r="B602" s="3237" t="s">
        <v>3826</v>
      </c>
      <c r="C602" s="3237" t="s">
        <v>4461</v>
      </c>
      <c r="D602" s="3237" t="s">
        <v>4462</v>
      </c>
      <c r="E602" s="3237" t="s">
        <v>4476</v>
      </c>
      <c r="F602" s="3237" t="s">
        <v>3662</v>
      </c>
      <c r="G602" s="3237" t="s">
        <v>3221</v>
      </c>
      <c r="H602" s="3236" t="s">
        <v>4464</v>
      </c>
      <c r="I602" s="3236">
        <v>29.09</v>
      </c>
    </row>
    <row r="603" spans="1:9" ht="11.25" hidden="1" customHeight="1" x14ac:dyDescent="0.2">
      <c r="A603" s="3237" t="s">
        <v>4475</v>
      </c>
      <c r="B603" s="3237" t="s">
        <v>3827</v>
      </c>
      <c r="C603" s="3237" t="s">
        <v>4461</v>
      </c>
      <c r="D603" s="3237" t="s">
        <v>4462</v>
      </c>
      <c r="E603" s="3237" t="s">
        <v>4476</v>
      </c>
      <c r="F603" s="3237" t="s">
        <v>3662</v>
      </c>
      <c r="G603" s="3237" t="s">
        <v>3221</v>
      </c>
      <c r="H603" s="3236" t="s">
        <v>4464</v>
      </c>
      <c r="I603" s="3236">
        <v>29.09</v>
      </c>
    </row>
    <row r="604" spans="1:9" ht="11.25" hidden="1" customHeight="1" x14ac:dyDescent="0.2">
      <c r="A604" s="3237" t="s">
        <v>4475</v>
      </c>
      <c r="B604" s="3237" t="s">
        <v>3828</v>
      </c>
      <c r="C604" s="3237" t="s">
        <v>4461</v>
      </c>
      <c r="D604" s="3237" t="s">
        <v>4462</v>
      </c>
      <c r="E604" s="3237" t="s">
        <v>4476</v>
      </c>
      <c r="F604" s="3237" t="s">
        <v>3662</v>
      </c>
      <c r="G604" s="3237" t="s">
        <v>3221</v>
      </c>
      <c r="H604" s="3236" t="s">
        <v>4464</v>
      </c>
      <c r="I604" s="3236">
        <v>29.09</v>
      </c>
    </row>
    <row r="605" spans="1:9" ht="11.25" hidden="1" customHeight="1" x14ac:dyDescent="0.2">
      <c r="A605" s="3237" t="s">
        <v>4475</v>
      </c>
      <c r="B605" s="3237" t="s">
        <v>3829</v>
      </c>
      <c r="C605" s="3237" t="s">
        <v>4461</v>
      </c>
      <c r="D605" s="3237" t="s">
        <v>4462</v>
      </c>
      <c r="E605" s="3237" t="s">
        <v>4476</v>
      </c>
      <c r="F605" s="3237" t="s">
        <v>3662</v>
      </c>
      <c r="G605" s="3237" t="s">
        <v>3221</v>
      </c>
      <c r="H605" s="3236" t="s">
        <v>4464</v>
      </c>
      <c r="I605" s="3236">
        <v>29.09</v>
      </c>
    </row>
    <row r="606" spans="1:9" ht="11.25" hidden="1" customHeight="1" x14ac:dyDescent="0.2">
      <c r="A606" s="3237" t="s">
        <v>4475</v>
      </c>
      <c r="B606" s="3237" t="s">
        <v>3830</v>
      </c>
      <c r="C606" s="3237" t="s">
        <v>4461</v>
      </c>
      <c r="D606" s="3237" t="s">
        <v>4462</v>
      </c>
      <c r="E606" s="3237" t="s">
        <v>4476</v>
      </c>
      <c r="F606" s="3237" t="s">
        <v>3662</v>
      </c>
      <c r="G606" s="3237" t="s">
        <v>3221</v>
      </c>
      <c r="H606" s="3236" t="s">
        <v>4464</v>
      </c>
      <c r="I606" s="3236">
        <v>29.09</v>
      </c>
    </row>
    <row r="607" spans="1:9" ht="11.25" hidden="1" customHeight="1" x14ac:dyDescent="0.2">
      <c r="A607" s="3237" t="s">
        <v>4475</v>
      </c>
      <c r="B607" s="3237" t="s">
        <v>3831</v>
      </c>
      <c r="C607" s="3237" t="s">
        <v>4461</v>
      </c>
      <c r="D607" s="3237" t="s">
        <v>4462</v>
      </c>
      <c r="E607" s="3237" t="s">
        <v>4476</v>
      </c>
      <c r="F607" s="3237" t="s">
        <v>3662</v>
      </c>
      <c r="G607" s="3237" t="s">
        <v>3221</v>
      </c>
      <c r="H607" s="3236" t="s">
        <v>4464</v>
      </c>
      <c r="I607" s="3236">
        <v>29.09</v>
      </c>
    </row>
    <row r="608" spans="1:9" ht="11.25" hidden="1" customHeight="1" x14ac:dyDescent="0.2">
      <c r="A608" s="3237" t="s">
        <v>4475</v>
      </c>
      <c r="B608" s="3237" t="s">
        <v>3832</v>
      </c>
      <c r="C608" s="3237" t="s">
        <v>4461</v>
      </c>
      <c r="D608" s="3237" t="s">
        <v>4462</v>
      </c>
      <c r="E608" s="3237" t="s">
        <v>4476</v>
      </c>
      <c r="F608" s="3237" t="s">
        <v>3662</v>
      </c>
      <c r="G608" s="3237" t="s">
        <v>3221</v>
      </c>
      <c r="H608" s="3236" t="s">
        <v>4464</v>
      </c>
      <c r="I608" s="3236">
        <v>29.09</v>
      </c>
    </row>
    <row r="609" spans="1:9" ht="11.25" hidden="1" customHeight="1" x14ac:dyDescent="0.2">
      <c r="A609" s="3237" t="s">
        <v>4475</v>
      </c>
      <c r="B609" s="3237" t="s">
        <v>3833</v>
      </c>
      <c r="C609" s="3237" t="s">
        <v>4461</v>
      </c>
      <c r="D609" s="3237" t="s">
        <v>4462</v>
      </c>
      <c r="E609" s="3237" t="s">
        <v>4476</v>
      </c>
      <c r="F609" s="3237" t="s">
        <v>3662</v>
      </c>
      <c r="G609" s="3237" t="s">
        <v>3221</v>
      </c>
      <c r="H609" s="3236" t="s">
        <v>4464</v>
      </c>
      <c r="I609" s="3236">
        <v>29.09</v>
      </c>
    </row>
    <row r="610" spans="1:9" ht="11.25" hidden="1" customHeight="1" x14ac:dyDescent="0.2">
      <c r="A610" s="3237" t="s">
        <v>4475</v>
      </c>
      <c r="B610" s="3237" t="s">
        <v>3834</v>
      </c>
      <c r="C610" s="3237" t="s">
        <v>4461</v>
      </c>
      <c r="D610" s="3237" t="s">
        <v>4462</v>
      </c>
      <c r="E610" s="3237" t="s">
        <v>4476</v>
      </c>
      <c r="F610" s="3237" t="s">
        <v>3662</v>
      </c>
      <c r="G610" s="3237" t="s">
        <v>3221</v>
      </c>
      <c r="H610" s="3236" t="s">
        <v>4464</v>
      </c>
      <c r="I610" s="3236">
        <v>29.09</v>
      </c>
    </row>
    <row r="611" spans="1:9" ht="11.25" hidden="1" customHeight="1" x14ac:dyDescent="0.2">
      <c r="A611" s="3237" t="s">
        <v>4475</v>
      </c>
      <c r="B611" s="3237" t="s">
        <v>3835</v>
      </c>
      <c r="C611" s="3237" t="s">
        <v>4461</v>
      </c>
      <c r="D611" s="3237" t="s">
        <v>4462</v>
      </c>
      <c r="E611" s="3237" t="s">
        <v>4476</v>
      </c>
      <c r="F611" s="3237" t="s">
        <v>3662</v>
      </c>
      <c r="G611" s="3237" t="s">
        <v>3221</v>
      </c>
      <c r="H611" s="3236" t="s">
        <v>4464</v>
      </c>
      <c r="I611" s="3236">
        <v>29.09</v>
      </c>
    </row>
    <row r="612" spans="1:9" ht="11.25" hidden="1" customHeight="1" x14ac:dyDescent="0.2">
      <c r="A612" s="3237" t="s">
        <v>4475</v>
      </c>
      <c r="B612" s="3237" t="s">
        <v>3836</v>
      </c>
      <c r="C612" s="3237" t="s">
        <v>4461</v>
      </c>
      <c r="D612" s="3237" t="s">
        <v>4462</v>
      </c>
      <c r="E612" s="3237" t="s">
        <v>4476</v>
      </c>
      <c r="F612" s="3237" t="s">
        <v>3662</v>
      </c>
      <c r="G612" s="3237" t="s">
        <v>3221</v>
      </c>
      <c r="H612" s="3236" t="s">
        <v>4464</v>
      </c>
      <c r="I612" s="3236">
        <v>29.09</v>
      </c>
    </row>
    <row r="613" spans="1:9" ht="11.25" hidden="1" customHeight="1" x14ac:dyDescent="0.2">
      <c r="A613" s="3237" t="s">
        <v>4475</v>
      </c>
      <c r="B613" s="3237" t="s">
        <v>3837</v>
      </c>
      <c r="C613" s="3237" t="s">
        <v>4461</v>
      </c>
      <c r="D613" s="3237" t="s">
        <v>4462</v>
      </c>
      <c r="E613" s="3237" t="s">
        <v>4476</v>
      </c>
      <c r="F613" s="3237" t="s">
        <v>3662</v>
      </c>
      <c r="G613" s="3237" t="s">
        <v>3221</v>
      </c>
      <c r="H613" s="3236" t="s">
        <v>4464</v>
      </c>
      <c r="I613" s="3236">
        <v>29.09</v>
      </c>
    </row>
    <row r="614" spans="1:9" ht="11.25" hidden="1" customHeight="1" x14ac:dyDescent="0.2">
      <c r="A614" s="3237" t="s">
        <v>4475</v>
      </c>
      <c r="B614" s="3237" t="s">
        <v>3838</v>
      </c>
      <c r="C614" s="3237" t="s">
        <v>4461</v>
      </c>
      <c r="D614" s="3237" t="s">
        <v>4462</v>
      </c>
      <c r="E614" s="3237" t="s">
        <v>4476</v>
      </c>
      <c r="F614" s="3237" t="s">
        <v>3662</v>
      </c>
      <c r="G614" s="3237" t="s">
        <v>3221</v>
      </c>
      <c r="H614" s="3236" t="s">
        <v>4464</v>
      </c>
      <c r="I614" s="3236">
        <v>29.09</v>
      </c>
    </row>
    <row r="615" spans="1:9" ht="11.25" hidden="1" customHeight="1" x14ac:dyDescent="0.2">
      <c r="A615" s="3237" t="s">
        <v>4475</v>
      </c>
      <c r="B615" s="3237" t="s">
        <v>3839</v>
      </c>
      <c r="C615" s="3237" t="s">
        <v>4461</v>
      </c>
      <c r="D615" s="3237" t="s">
        <v>4462</v>
      </c>
      <c r="E615" s="3237" t="s">
        <v>4476</v>
      </c>
      <c r="F615" s="3237" t="s">
        <v>3662</v>
      </c>
      <c r="G615" s="3237" t="s">
        <v>3221</v>
      </c>
      <c r="H615" s="3236" t="s">
        <v>4464</v>
      </c>
      <c r="I615" s="3236">
        <v>29.09</v>
      </c>
    </row>
    <row r="616" spans="1:9" ht="11.25" hidden="1" customHeight="1" x14ac:dyDescent="0.2">
      <c r="A616" s="3237" t="s">
        <v>4475</v>
      </c>
      <c r="B616" s="3237" t="s">
        <v>3840</v>
      </c>
      <c r="C616" s="3237" t="s">
        <v>4461</v>
      </c>
      <c r="D616" s="3237" t="s">
        <v>4462</v>
      </c>
      <c r="E616" s="3237" t="s">
        <v>4476</v>
      </c>
      <c r="F616" s="3237" t="s">
        <v>3662</v>
      </c>
      <c r="G616" s="3237" t="s">
        <v>3221</v>
      </c>
      <c r="H616" s="3236" t="s">
        <v>4464</v>
      </c>
      <c r="I616" s="3236">
        <v>29.09</v>
      </c>
    </row>
    <row r="617" spans="1:9" ht="11.25" hidden="1" customHeight="1" x14ac:dyDescent="0.2">
      <c r="A617" s="3237" t="s">
        <v>4475</v>
      </c>
      <c r="B617" s="3237" t="s">
        <v>3841</v>
      </c>
      <c r="C617" s="3237" t="s">
        <v>4461</v>
      </c>
      <c r="D617" s="3237" t="s">
        <v>4462</v>
      </c>
      <c r="E617" s="3237" t="s">
        <v>4476</v>
      </c>
      <c r="F617" s="3237" t="s">
        <v>3662</v>
      </c>
      <c r="G617" s="3237" t="s">
        <v>3221</v>
      </c>
      <c r="H617" s="3236" t="s">
        <v>4464</v>
      </c>
      <c r="I617" s="3236">
        <v>29.09</v>
      </c>
    </row>
    <row r="618" spans="1:9" ht="11.25" hidden="1" customHeight="1" x14ac:dyDescent="0.2">
      <c r="A618" s="3237" t="s">
        <v>4475</v>
      </c>
      <c r="B618" s="3237" t="s">
        <v>3842</v>
      </c>
      <c r="C618" s="3237" t="s">
        <v>4461</v>
      </c>
      <c r="D618" s="3237" t="s">
        <v>4462</v>
      </c>
      <c r="E618" s="3237" t="s">
        <v>4476</v>
      </c>
      <c r="F618" s="3237" t="s">
        <v>3662</v>
      </c>
      <c r="G618" s="3237" t="s">
        <v>3221</v>
      </c>
      <c r="H618" s="3236" t="s">
        <v>4464</v>
      </c>
      <c r="I618" s="3236">
        <v>29.09</v>
      </c>
    </row>
    <row r="619" spans="1:9" ht="11.25" hidden="1" customHeight="1" x14ac:dyDescent="0.2">
      <c r="A619" s="3237" t="s">
        <v>4475</v>
      </c>
      <c r="B619" s="3237" t="s">
        <v>3843</v>
      </c>
      <c r="C619" s="3237" t="s">
        <v>4461</v>
      </c>
      <c r="D619" s="3237" t="s">
        <v>4462</v>
      </c>
      <c r="E619" s="3237" t="s">
        <v>4476</v>
      </c>
      <c r="F619" s="3237" t="s">
        <v>3662</v>
      </c>
      <c r="G619" s="3237" t="s">
        <v>3221</v>
      </c>
      <c r="H619" s="3236" t="s">
        <v>4464</v>
      </c>
      <c r="I619" s="3236">
        <v>29.09</v>
      </c>
    </row>
    <row r="620" spans="1:9" ht="11.25" hidden="1" customHeight="1" x14ac:dyDescent="0.2">
      <c r="A620" s="3237" t="s">
        <v>4475</v>
      </c>
      <c r="B620" s="3237" t="s">
        <v>3844</v>
      </c>
      <c r="C620" s="3237" t="s">
        <v>4461</v>
      </c>
      <c r="D620" s="3237" t="s">
        <v>4462</v>
      </c>
      <c r="E620" s="3237" t="s">
        <v>4476</v>
      </c>
      <c r="F620" s="3237" t="s">
        <v>3662</v>
      </c>
      <c r="G620" s="3237" t="s">
        <v>3221</v>
      </c>
      <c r="H620" s="3236" t="s">
        <v>4464</v>
      </c>
      <c r="I620" s="3236">
        <v>29.09</v>
      </c>
    </row>
    <row r="621" spans="1:9" ht="11.25" hidden="1" customHeight="1" x14ac:dyDescent="0.2">
      <c r="A621" s="3237" t="s">
        <v>4475</v>
      </c>
      <c r="B621" s="3237" t="s">
        <v>3845</v>
      </c>
      <c r="C621" s="3237" t="s">
        <v>4461</v>
      </c>
      <c r="D621" s="3237" t="s">
        <v>4462</v>
      </c>
      <c r="E621" s="3237" t="s">
        <v>4476</v>
      </c>
      <c r="F621" s="3237" t="s">
        <v>3662</v>
      </c>
      <c r="G621" s="3237" t="s">
        <v>3221</v>
      </c>
      <c r="H621" s="3236" t="s">
        <v>4464</v>
      </c>
      <c r="I621" s="3236">
        <v>29.09</v>
      </c>
    </row>
    <row r="622" spans="1:9" ht="11.25" hidden="1" customHeight="1" x14ac:dyDescent="0.2">
      <c r="A622" s="3237" t="s">
        <v>4475</v>
      </c>
      <c r="B622" s="3237" t="s">
        <v>3846</v>
      </c>
      <c r="C622" s="3237" t="s">
        <v>4461</v>
      </c>
      <c r="D622" s="3237" t="s">
        <v>4462</v>
      </c>
      <c r="E622" s="3237" t="s">
        <v>4476</v>
      </c>
      <c r="F622" s="3237" t="s">
        <v>3662</v>
      </c>
      <c r="G622" s="3237" t="s">
        <v>3221</v>
      </c>
      <c r="H622" s="3236" t="s">
        <v>4464</v>
      </c>
      <c r="I622" s="3236">
        <v>29.09</v>
      </c>
    </row>
    <row r="623" spans="1:9" ht="11.25" hidden="1" customHeight="1" x14ac:dyDescent="0.2">
      <c r="A623" s="3237" t="s">
        <v>4475</v>
      </c>
      <c r="B623" s="3237" t="s">
        <v>3847</v>
      </c>
      <c r="C623" s="3237" t="s">
        <v>4461</v>
      </c>
      <c r="D623" s="3237" t="s">
        <v>4462</v>
      </c>
      <c r="E623" s="3237" t="s">
        <v>4476</v>
      </c>
      <c r="F623" s="3237" t="s">
        <v>3662</v>
      </c>
      <c r="G623" s="3237" t="s">
        <v>3221</v>
      </c>
      <c r="H623" s="3236" t="s">
        <v>4464</v>
      </c>
      <c r="I623" s="3236">
        <v>29.09</v>
      </c>
    </row>
    <row r="624" spans="1:9" ht="11.25" hidden="1" customHeight="1" x14ac:dyDescent="0.2">
      <c r="A624" s="3237" t="s">
        <v>4475</v>
      </c>
      <c r="B624" s="3237" t="s">
        <v>3848</v>
      </c>
      <c r="C624" s="3237" t="s">
        <v>4461</v>
      </c>
      <c r="D624" s="3237" t="s">
        <v>4462</v>
      </c>
      <c r="E624" s="3237" t="s">
        <v>4476</v>
      </c>
      <c r="F624" s="3237" t="s">
        <v>3662</v>
      </c>
      <c r="G624" s="3237" t="s">
        <v>3221</v>
      </c>
      <c r="H624" s="3236" t="s">
        <v>4464</v>
      </c>
      <c r="I624" s="3236">
        <v>29.09</v>
      </c>
    </row>
    <row r="625" spans="1:9" ht="11.25" hidden="1" customHeight="1" x14ac:dyDescent="0.2">
      <c r="A625" s="3237" t="s">
        <v>4475</v>
      </c>
      <c r="B625" s="3237" t="s">
        <v>3849</v>
      </c>
      <c r="C625" s="3237" t="s">
        <v>4461</v>
      </c>
      <c r="D625" s="3237" t="s">
        <v>4462</v>
      </c>
      <c r="E625" s="3237" t="s">
        <v>4476</v>
      </c>
      <c r="F625" s="3237" t="s">
        <v>3662</v>
      </c>
      <c r="G625" s="3237" t="s">
        <v>3221</v>
      </c>
      <c r="H625" s="3236" t="s">
        <v>4464</v>
      </c>
      <c r="I625" s="3236">
        <v>29.09</v>
      </c>
    </row>
    <row r="626" spans="1:9" ht="11.25" hidden="1" customHeight="1" x14ac:dyDescent="0.2">
      <c r="A626" s="3237" t="s">
        <v>4475</v>
      </c>
      <c r="B626" s="3237" t="s">
        <v>3850</v>
      </c>
      <c r="C626" s="3237" t="s">
        <v>4461</v>
      </c>
      <c r="D626" s="3237" t="s">
        <v>4462</v>
      </c>
      <c r="E626" s="3237" t="s">
        <v>4476</v>
      </c>
      <c r="F626" s="3237" t="s">
        <v>3662</v>
      </c>
      <c r="G626" s="3237" t="s">
        <v>3221</v>
      </c>
      <c r="H626" s="3236" t="s">
        <v>4464</v>
      </c>
      <c r="I626" s="3236">
        <v>29.09</v>
      </c>
    </row>
    <row r="627" spans="1:9" ht="11.25" hidden="1" customHeight="1" x14ac:dyDescent="0.2">
      <c r="A627" s="3237" t="s">
        <v>4475</v>
      </c>
      <c r="B627" s="3237" t="s">
        <v>3851</v>
      </c>
      <c r="C627" s="3237" t="s">
        <v>4461</v>
      </c>
      <c r="D627" s="3237" t="s">
        <v>4462</v>
      </c>
      <c r="E627" s="3237" t="s">
        <v>4476</v>
      </c>
      <c r="F627" s="3237" t="s">
        <v>3662</v>
      </c>
      <c r="G627" s="3237" t="s">
        <v>3221</v>
      </c>
      <c r="H627" s="3236" t="s">
        <v>4464</v>
      </c>
      <c r="I627" s="3236">
        <v>29.09</v>
      </c>
    </row>
    <row r="628" spans="1:9" ht="11.25" hidden="1" customHeight="1" x14ac:dyDescent="0.2">
      <c r="A628" s="3237" t="s">
        <v>4475</v>
      </c>
      <c r="B628" s="3237" t="s">
        <v>3852</v>
      </c>
      <c r="C628" s="3237" t="s">
        <v>4461</v>
      </c>
      <c r="D628" s="3237" t="s">
        <v>4462</v>
      </c>
      <c r="E628" s="3237" t="s">
        <v>4476</v>
      </c>
      <c r="F628" s="3237" t="s">
        <v>3662</v>
      </c>
      <c r="G628" s="3237" t="s">
        <v>3221</v>
      </c>
      <c r="H628" s="3236" t="s">
        <v>4464</v>
      </c>
      <c r="I628" s="3236">
        <v>29.09</v>
      </c>
    </row>
    <row r="629" spans="1:9" ht="11.25" hidden="1" customHeight="1" x14ac:dyDescent="0.2">
      <c r="A629" s="3237" t="s">
        <v>4475</v>
      </c>
      <c r="B629" s="3237" t="s">
        <v>3853</v>
      </c>
      <c r="C629" s="3237" t="s">
        <v>4461</v>
      </c>
      <c r="D629" s="3237" t="s">
        <v>4462</v>
      </c>
      <c r="E629" s="3237" t="s">
        <v>4476</v>
      </c>
      <c r="F629" s="3237" t="s">
        <v>3662</v>
      </c>
      <c r="G629" s="3237" t="s">
        <v>3221</v>
      </c>
      <c r="H629" s="3236" t="s">
        <v>4464</v>
      </c>
      <c r="I629" s="3236">
        <v>29.09</v>
      </c>
    </row>
    <row r="630" spans="1:9" ht="11.25" hidden="1" customHeight="1" x14ac:dyDescent="0.2">
      <c r="A630" s="3237" t="s">
        <v>4475</v>
      </c>
      <c r="B630" s="3237" t="s">
        <v>3854</v>
      </c>
      <c r="C630" s="3237" t="s">
        <v>4461</v>
      </c>
      <c r="D630" s="3237" t="s">
        <v>4462</v>
      </c>
      <c r="E630" s="3237" t="s">
        <v>4476</v>
      </c>
      <c r="F630" s="3237" t="s">
        <v>3662</v>
      </c>
      <c r="G630" s="3237" t="s">
        <v>3221</v>
      </c>
      <c r="H630" s="3236" t="s">
        <v>4464</v>
      </c>
      <c r="I630" s="3236">
        <v>29.09</v>
      </c>
    </row>
    <row r="631" spans="1:9" ht="11.25" hidden="1" customHeight="1" x14ac:dyDescent="0.2">
      <c r="A631" s="3237" t="s">
        <v>4475</v>
      </c>
      <c r="B631" s="3237" t="s">
        <v>3855</v>
      </c>
      <c r="C631" s="3237" t="s">
        <v>4461</v>
      </c>
      <c r="D631" s="3237" t="s">
        <v>4462</v>
      </c>
      <c r="E631" s="3237" t="s">
        <v>4476</v>
      </c>
      <c r="F631" s="3237" t="s">
        <v>3662</v>
      </c>
      <c r="G631" s="3237" t="s">
        <v>3221</v>
      </c>
      <c r="H631" s="3236" t="s">
        <v>4464</v>
      </c>
      <c r="I631" s="3236">
        <v>29.09</v>
      </c>
    </row>
    <row r="632" spans="1:9" ht="11.25" hidden="1" customHeight="1" x14ac:dyDescent="0.2">
      <c r="A632" s="3237" t="s">
        <v>4475</v>
      </c>
      <c r="B632" s="3237" t="s">
        <v>3856</v>
      </c>
      <c r="C632" s="3237" t="s">
        <v>4461</v>
      </c>
      <c r="D632" s="3237" t="s">
        <v>4462</v>
      </c>
      <c r="E632" s="3237" t="s">
        <v>4476</v>
      </c>
      <c r="F632" s="3237" t="s">
        <v>3662</v>
      </c>
      <c r="G632" s="3237" t="s">
        <v>3221</v>
      </c>
      <c r="H632" s="3236" t="s">
        <v>4464</v>
      </c>
      <c r="I632" s="3236">
        <v>29.09</v>
      </c>
    </row>
    <row r="633" spans="1:9" ht="11.25" hidden="1" customHeight="1" x14ac:dyDescent="0.2">
      <c r="A633" s="3237" t="s">
        <v>4475</v>
      </c>
      <c r="B633" s="3237" t="s">
        <v>3857</v>
      </c>
      <c r="C633" s="3237" t="s">
        <v>4461</v>
      </c>
      <c r="D633" s="3237" t="s">
        <v>4462</v>
      </c>
      <c r="E633" s="3237" t="s">
        <v>4476</v>
      </c>
      <c r="F633" s="3237" t="s">
        <v>3662</v>
      </c>
      <c r="G633" s="3237" t="s">
        <v>3221</v>
      </c>
      <c r="H633" s="3236" t="s">
        <v>4464</v>
      </c>
      <c r="I633" s="3236">
        <v>29.09</v>
      </c>
    </row>
    <row r="634" spans="1:9" ht="11.25" hidden="1" customHeight="1" x14ac:dyDescent="0.2">
      <c r="A634" s="3237" t="s">
        <v>4475</v>
      </c>
      <c r="B634" s="3237" t="s">
        <v>3858</v>
      </c>
      <c r="C634" s="3237" t="s">
        <v>4461</v>
      </c>
      <c r="D634" s="3237" t="s">
        <v>4462</v>
      </c>
      <c r="E634" s="3237" t="s">
        <v>4476</v>
      </c>
      <c r="F634" s="3237" t="s">
        <v>3662</v>
      </c>
      <c r="G634" s="3237" t="s">
        <v>3221</v>
      </c>
      <c r="H634" s="3236" t="s">
        <v>4464</v>
      </c>
      <c r="I634" s="3236">
        <v>29.09</v>
      </c>
    </row>
    <row r="635" spans="1:9" ht="11.25" hidden="1" customHeight="1" x14ac:dyDescent="0.2">
      <c r="A635" s="3237" t="s">
        <v>4475</v>
      </c>
      <c r="B635" s="3237" t="s">
        <v>3859</v>
      </c>
      <c r="C635" s="3237" t="s">
        <v>4461</v>
      </c>
      <c r="D635" s="3237" t="s">
        <v>4462</v>
      </c>
      <c r="E635" s="3237" t="s">
        <v>4476</v>
      </c>
      <c r="F635" s="3237" t="s">
        <v>3662</v>
      </c>
      <c r="G635" s="3237" t="s">
        <v>3221</v>
      </c>
      <c r="H635" s="3236" t="s">
        <v>4464</v>
      </c>
      <c r="I635" s="3236">
        <v>29.09</v>
      </c>
    </row>
    <row r="636" spans="1:9" ht="11.25" hidden="1" customHeight="1" x14ac:dyDescent="0.2">
      <c r="A636" s="3237" t="s">
        <v>4475</v>
      </c>
      <c r="B636" s="3237" t="s">
        <v>3860</v>
      </c>
      <c r="C636" s="3237" t="s">
        <v>4461</v>
      </c>
      <c r="D636" s="3237" t="s">
        <v>4462</v>
      </c>
      <c r="E636" s="3237" t="s">
        <v>4476</v>
      </c>
      <c r="F636" s="3237" t="s">
        <v>3662</v>
      </c>
      <c r="G636" s="3237" t="s">
        <v>3221</v>
      </c>
      <c r="H636" s="3236" t="s">
        <v>4464</v>
      </c>
      <c r="I636" s="3236">
        <v>29.09</v>
      </c>
    </row>
    <row r="637" spans="1:9" ht="11.25" hidden="1" customHeight="1" x14ac:dyDescent="0.2">
      <c r="A637" s="3237" t="s">
        <v>4475</v>
      </c>
      <c r="B637" s="3237" t="s">
        <v>3861</v>
      </c>
      <c r="C637" s="3237" t="s">
        <v>4461</v>
      </c>
      <c r="D637" s="3237" t="s">
        <v>4462</v>
      </c>
      <c r="E637" s="3237" t="s">
        <v>4476</v>
      </c>
      <c r="F637" s="3237" t="s">
        <v>3662</v>
      </c>
      <c r="G637" s="3237" t="s">
        <v>3221</v>
      </c>
      <c r="H637" s="3236" t="s">
        <v>4464</v>
      </c>
      <c r="I637" s="3236">
        <v>29.09</v>
      </c>
    </row>
    <row r="638" spans="1:9" ht="11.25" hidden="1" customHeight="1" x14ac:dyDescent="0.2">
      <c r="A638" s="3237" t="s">
        <v>4475</v>
      </c>
      <c r="B638" s="3237" t="s">
        <v>3862</v>
      </c>
      <c r="C638" s="3237" t="s">
        <v>4461</v>
      </c>
      <c r="D638" s="3237" t="s">
        <v>4462</v>
      </c>
      <c r="E638" s="3237" t="s">
        <v>4476</v>
      </c>
      <c r="F638" s="3237" t="s">
        <v>3662</v>
      </c>
      <c r="G638" s="3237" t="s">
        <v>3221</v>
      </c>
      <c r="H638" s="3236" t="s">
        <v>4464</v>
      </c>
      <c r="I638" s="3236">
        <v>29.09</v>
      </c>
    </row>
    <row r="639" spans="1:9" ht="11.25" hidden="1" customHeight="1" x14ac:dyDescent="0.2">
      <c r="A639" s="3237" t="s">
        <v>4475</v>
      </c>
      <c r="B639" s="3237" t="s">
        <v>3863</v>
      </c>
      <c r="C639" s="3237" t="s">
        <v>4461</v>
      </c>
      <c r="D639" s="3237" t="s">
        <v>4462</v>
      </c>
      <c r="E639" s="3237" t="s">
        <v>4476</v>
      </c>
      <c r="F639" s="3237" t="s">
        <v>3662</v>
      </c>
      <c r="G639" s="3237" t="s">
        <v>3221</v>
      </c>
      <c r="H639" s="3236" t="s">
        <v>4464</v>
      </c>
      <c r="I639" s="3236">
        <v>29.09</v>
      </c>
    </row>
    <row r="640" spans="1:9" ht="11.25" hidden="1" customHeight="1" x14ac:dyDescent="0.2">
      <c r="A640" s="3237" t="s">
        <v>4475</v>
      </c>
      <c r="B640" s="3237" t="s">
        <v>3864</v>
      </c>
      <c r="C640" s="3237" t="s">
        <v>4461</v>
      </c>
      <c r="D640" s="3237" t="s">
        <v>4462</v>
      </c>
      <c r="E640" s="3237" t="s">
        <v>4476</v>
      </c>
      <c r="F640" s="3237" t="s">
        <v>3662</v>
      </c>
      <c r="G640" s="3237" t="s">
        <v>3221</v>
      </c>
      <c r="H640" s="3236" t="s">
        <v>4464</v>
      </c>
      <c r="I640" s="3236">
        <v>29.09</v>
      </c>
    </row>
    <row r="641" spans="1:9" ht="11.25" hidden="1" customHeight="1" x14ac:dyDescent="0.2">
      <c r="A641" s="3237" t="s">
        <v>4475</v>
      </c>
      <c r="B641" s="3237" t="s">
        <v>3865</v>
      </c>
      <c r="C641" s="3237" t="s">
        <v>4461</v>
      </c>
      <c r="D641" s="3237" t="s">
        <v>4462</v>
      </c>
      <c r="E641" s="3237" t="s">
        <v>4476</v>
      </c>
      <c r="F641" s="3237" t="s">
        <v>3662</v>
      </c>
      <c r="G641" s="3237" t="s">
        <v>3221</v>
      </c>
      <c r="H641" s="3236" t="s">
        <v>4464</v>
      </c>
      <c r="I641" s="3236">
        <v>29.09</v>
      </c>
    </row>
    <row r="642" spans="1:9" ht="11.25" hidden="1" customHeight="1" x14ac:dyDescent="0.2">
      <c r="A642" s="3237" t="s">
        <v>4475</v>
      </c>
      <c r="B642" s="3237" t="s">
        <v>3866</v>
      </c>
      <c r="C642" s="3237" t="s">
        <v>4461</v>
      </c>
      <c r="D642" s="3237" t="s">
        <v>4462</v>
      </c>
      <c r="E642" s="3237" t="s">
        <v>4476</v>
      </c>
      <c r="F642" s="3237" t="s">
        <v>3662</v>
      </c>
      <c r="G642" s="3237" t="s">
        <v>3221</v>
      </c>
      <c r="H642" s="3236" t="s">
        <v>4464</v>
      </c>
      <c r="I642" s="3236">
        <v>29.09</v>
      </c>
    </row>
    <row r="643" spans="1:9" ht="11.25" hidden="1" customHeight="1" x14ac:dyDescent="0.2">
      <c r="A643" s="3237" t="s">
        <v>4475</v>
      </c>
      <c r="B643" s="3237" t="s">
        <v>3867</v>
      </c>
      <c r="C643" s="3237" t="s">
        <v>4461</v>
      </c>
      <c r="D643" s="3237" t="s">
        <v>4462</v>
      </c>
      <c r="E643" s="3237" t="s">
        <v>4476</v>
      </c>
      <c r="F643" s="3237" t="s">
        <v>3662</v>
      </c>
      <c r="G643" s="3237" t="s">
        <v>3221</v>
      </c>
      <c r="H643" s="3236" t="s">
        <v>4464</v>
      </c>
      <c r="I643" s="3236">
        <v>29.09</v>
      </c>
    </row>
    <row r="644" spans="1:9" ht="11.25" hidden="1" customHeight="1" x14ac:dyDescent="0.2">
      <c r="A644" s="3237" t="s">
        <v>4475</v>
      </c>
      <c r="B644" s="3237" t="s">
        <v>3868</v>
      </c>
      <c r="C644" s="3237" t="s">
        <v>4461</v>
      </c>
      <c r="D644" s="3237" t="s">
        <v>4462</v>
      </c>
      <c r="E644" s="3237" t="s">
        <v>4476</v>
      </c>
      <c r="F644" s="3237" t="s">
        <v>3662</v>
      </c>
      <c r="G644" s="3237" t="s">
        <v>3221</v>
      </c>
      <c r="H644" s="3236" t="s">
        <v>4464</v>
      </c>
      <c r="I644" s="3236">
        <v>29.09</v>
      </c>
    </row>
    <row r="645" spans="1:9" ht="11.25" hidden="1" customHeight="1" x14ac:dyDescent="0.2">
      <c r="A645" s="3237" t="s">
        <v>4475</v>
      </c>
      <c r="B645" s="3237" t="s">
        <v>3869</v>
      </c>
      <c r="C645" s="3237" t="s">
        <v>4461</v>
      </c>
      <c r="D645" s="3237" t="s">
        <v>4462</v>
      </c>
      <c r="E645" s="3237" t="s">
        <v>4476</v>
      </c>
      <c r="F645" s="3237" t="s">
        <v>3662</v>
      </c>
      <c r="G645" s="3237" t="s">
        <v>3221</v>
      </c>
      <c r="H645" s="3236" t="s">
        <v>4464</v>
      </c>
      <c r="I645" s="3236">
        <v>29.09</v>
      </c>
    </row>
    <row r="646" spans="1:9" ht="11.25" hidden="1" customHeight="1" x14ac:dyDescent="0.2">
      <c r="A646" s="3237" t="s">
        <v>4475</v>
      </c>
      <c r="B646" s="3237" t="s">
        <v>3870</v>
      </c>
      <c r="C646" s="3237" t="s">
        <v>4461</v>
      </c>
      <c r="D646" s="3237" t="s">
        <v>4462</v>
      </c>
      <c r="E646" s="3237" t="s">
        <v>4476</v>
      </c>
      <c r="F646" s="3237" t="s">
        <v>3662</v>
      </c>
      <c r="G646" s="3237" t="s">
        <v>3221</v>
      </c>
      <c r="H646" s="3236" t="s">
        <v>4464</v>
      </c>
      <c r="I646" s="3236">
        <v>29.09</v>
      </c>
    </row>
    <row r="647" spans="1:9" ht="11.25" hidden="1" customHeight="1" x14ac:dyDescent="0.2">
      <c r="A647" s="3237" t="s">
        <v>4475</v>
      </c>
      <c r="B647" s="3237" t="s">
        <v>3871</v>
      </c>
      <c r="C647" s="3237" t="s">
        <v>4461</v>
      </c>
      <c r="D647" s="3237" t="s">
        <v>4462</v>
      </c>
      <c r="E647" s="3237" t="s">
        <v>4476</v>
      </c>
      <c r="F647" s="3237" t="s">
        <v>3662</v>
      </c>
      <c r="G647" s="3237" t="s">
        <v>3221</v>
      </c>
      <c r="H647" s="3236" t="s">
        <v>4464</v>
      </c>
      <c r="I647" s="3236">
        <v>29.09</v>
      </c>
    </row>
    <row r="648" spans="1:9" ht="11.25" hidden="1" customHeight="1" x14ac:dyDescent="0.2">
      <c r="A648" s="3237" t="s">
        <v>4475</v>
      </c>
      <c r="B648" s="3237" t="s">
        <v>3872</v>
      </c>
      <c r="C648" s="3237" t="s">
        <v>4461</v>
      </c>
      <c r="D648" s="3237" t="s">
        <v>4462</v>
      </c>
      <c r="E648" s="3237" t="s">
        <v>4476</v>
      </c>
      <c r="F648" s="3237" t="s">
        <v>3662</v>
      </c>
      <c r="G648" s="3237" t="s">
        <v>3221</v>
      </c>
      <c r="H648" s="3236" t="s">
        <v>4464</v>
      </c>
      <c r="I648" s="3236">
        <v>29.09</v>
      </c>
    </row>
    <row r="649" spans="1:9" ht="11.25" hidden="1" customHeight="1" x14ac:dyDescent="0.2">
      <c r="A649" s="3237" t="s">
        <v>4475</v>
      </c>
      <c r="B649" s="3237" t="s">
        <v>3873</v>
      </c>
      <c r="C649" s="3237" t="s">
        <v>4461</v>
      </c>
      <c r="D649" s="3237" t="s">
        <v>4462</v>
      </c>
      <c r="E649" s="3237" t="s">
        <v>4476</v>
      </c>
      <c r="F649" s="3237" t="s">
        <v>3662</v>
      </c>
      <c r="G649" s="3237" t="s">
        <v>3221</v>
      </c>
      <c r="H649" s="3236" t="s">
        <v>4464</v>
      </c>
      <c r="I649" s="3236">
        <v>29.09</v>
      </c>
    </row>
    <row r="650" spans="1:9" ht="11.25" hidden="1" customHeight="1" x14ac:dyDescent="0.2">
      <c r="A650" s="3237" t="s">
        <v>4475</v>
      </c>
      <c r="B650" s="3237" t="s">
        <v>3874</v>
      </c>
      <c r="C650" s="3237" t="s">
        <v>4461</v>
      </c>
      <c r="D650" s="3237" t="s">
        <v>4462</v>
      </c>
      <c r="E650" s="3237" t="s">
        <v>4476</v>
      </c>
      <c r="F650" s="3237" t="s">
        <v>3662</v>
      </c>
      <c r="G650" s="3237" t="s">
        <v>3221</v>
      </c>
      <c r="H650" s="3236" t="s">
        <v>4464</v>
      </c>
      <c r="I650" s="3236">
        <v>29.09</v>
      </c>
    </row>
    <row r="651" spans="1:9" ht="11.25" hidden="1" customHeight="1" x14ac:dyDescent="0.2">
      <c r="A651" s="3237" t="s">
        <v>4475</v>
      </c>
      <c r="B651" s="3237" t="s">
        <v>3875</v>
      </c>
      <c r="C651" s="3237" t="s">
        <v>4461</v>
      </c>
      <c r="D651" s="3237" t="s">
        <v>4462</v>
      </c>
      <c r="E651" s="3237" t="s">
        <v>4476</v>
      </c>
      <c r="F651" s="3237" t="s">
        <v>3662</v>
      </c>
      <c r="G651" s="3237" t="s">
        <v>3221</v>
      </c>
      <c r="H651" s="3236" t="s">
        <v>4464</v>
      </c>
      <c r="I651" s="3236">
        <v>29.09</v>
      </c>
    </row>
    <row r="652" spans="1:9" ht="11.25" hidden="1" customHeight="1" x14ac:dyDescent="0.2">
      <c r="A652" s="3237" t="s">
        <v>4475</v>
      </c>
      <c r="B652" s="3237" t="s">
        <v>3876</v>
      </c>
      <c r="C652" s="3237" t="s">
        <v>4461</v>
      </c>
      <c r="D652" s="3237" t="s">
        <v>4462</v>
      </c>
      <c r="E652" s="3237" t="s">
        <v>4476</v>
      </c>
      <c r="F652" s="3237" t="s">
        <v>3662</v>
      </c>
      <c r="G652" s="3237" t="s">
        <v>3221</v>
      </c>
      <c r="H652" s="3236" t="s">
        <v>4464</v>
      </c>
      <c r="I652" s="3236">
        <v>29.09</v>
      </c>
    </row>
    <row r="653" spans="1:9" ht="11.25" hidden="1" customHeight="1" x14ac:dyDescent="0.2">
      <c r="A653" s="3237" t="s">
        <v>4475</v>
      </c>
      <c r="B653" s="3237" t="s">
        <v>3877</v>
      </c>
      <c r="C653" s="3237" t="s">
        <v>4461</v>
      </c>
      <c r="D653" s="3237" t="s">
        <v>4462</v>
      </c>
      <c r="E653" s="3237" t="s">
        <v>4476</v>
      </c>
      <c r="F653" s="3237" t="s">
        <v>3662</v>
      </c>
      <c r="G653" s="3237" t="s">
        <v>3221</v>
      </c>
      <c r="H653" s="3236" t="s">
        <v>4464</v>
      </c>
      <c r="I653" s="3236">
        <v>29.09</v>
      </c>
    </row>
    <row r="654" spans="1:9" ht="11.25" hidden="1" customHeight="1" x14ac:dyDescent="0.2">
      <c r="A654" s="3237" t="s">
        <v>4475</v>
      </c>
      <c r="B654" s="3237" t="s">
        <v>3878</v>
      </c>
      <c r="C654" s="3237" t="s">
        <v>4461</v>
      </c>
      <c r="D654" s="3237" t="s">
        <v>4462</v>
      </c>
      <c r="E654" s="3237" t="s">
        <v>4476</v>
      </c>
      <c r="F654" s="3237" t="s">
        <v>3662</v>
      </c>
      <c r="G654" s="3237" t="s">
        <v>3221</v>
      </c>
      <c r="H654" s="3236" t="s">
        <v>4464</v>
      </c>
      <c r="I654" s="3236">
        <v>29.09</v>
      </c>
    </row>
    <row r="655" spans="1:9" ht="11.25" hidden="1" customHeight="1" x14ac:dyDescent="0.2">
      <c r="A655" s="3237" t="s">
        <v>4475</v>
      </c>
      <c r="B655" s="3237" t="s">
        <v>3879</v>
      </c>
      <c r="C655" s="3237" t="s">
        <v>4461</v>
      </c>
      <c r="D655" s="3237" t="s">
        <v>4462</v>
      </c>
      <c r="E655" s="3237" t="s">
        <v>4476</v>
      </c>
      <c r="F655" s="3237" t="s">
        <v>3662</v>
      </c>
      <c r="G655" s="3237" t="s">
        <v>3221</v>
      </c>
      <c r="H655" s="3236" t="s">
        <v>4464</v>
      </c>
      <c r="I655" s="3236">
        <v>29.09</v>
      </c>
    </row>
    <row r="656" spans="1:9" ht="11.25" hidden="1" customHeight="1" x14ac:dyDescent="0.2">
      <c r="A656" s="3237" t="s">
        <v>4475</v>
      </c>
      <c r="B656" s="3237" t="s">
        <v>3880</v>
      </c>
      <c r="C656" s="3237" t="s">
        <v>4461</v>
      </c>
      <c r="D656" s="3237" t="s">
        <v>4462</v>
      </c>
      <c r="E656" s="3237" t="s">
        <v>4476</v>
      </c>
      <c r="F656" s="3237" t="s">
        <v>3662</v>
      </c>
      <c r="G656" s="3237" t="s">
        <v>3221</v>
      </c>
      <c r="H656" s="3236" t="s">
        <v>4464</v>
      </c>
      <c r="I656" s="3236">
        <v>29.09</v>
      </c>
    </row>
    <row r="657" spans="1:9" ht="11.25" hidden="1" customHeight="1" x14ac:dyDescent="0.2">
      <c r="A657" s="3237" t="s">
        <v>4475</v>
      </c>
      <c r="B657" s="3237" t="s">
        <v>3881</v>
      </c>
      <c r="C657" s="3237" t="s">
        <v>4461</v>
      </c>
      <c r="D657" s="3237" t="s">
        <v>4462</v>
      </c>
      <c r="E657" s="3237" t="s">
        <v>4476</v>
      </c>
      <c r="F657" s="3237" t="s">
        <v>3662</v>
      </c>
      <c r="G657" s="3237" t="s">
        <v>3221</v>
      </c>
      <c r="H657" s="3236" t="s">
        <v>4464</v>
      </c>
      <c r="I657" s="3236">
        <v>29.09</v>
      </c>
    </row>
    <row r="658" spans="1:9" ht="11.25" hidden="1" customHeight="1" x14ac:dyDescent="0.2">
      <c r="A658" s="3237" t="s">
        <v>4475</v>
      </c>
      <c r="B658" s="3237" t="s">
        <v>3882</v>
      </c>
      <c r="C658" s="3237" t="s">
        <v>4461</v>
      </c>
      <c r="D658" s="3237" t="s">
        <v>4462</v>
      </c>
      <c r="E658" s="3237" t="s">
        <v>4476</v>
      </c>
      <c r="F658" s="3237" t="s">
        <v>3662</v>
      </c>
      <c r="G658" s="3237" t="s">
        <v>3221</v>
      </c>
      <c r="H658" s="3236" t="s">
        <v>4464</v>
      </c>
      <c r="I658" s="3236">
        <v>29.09</v>
      </c>
    </row>
    <row r="659" spans="1:9" ht="11.25" hidden="1" customHeight="1" x14ac:dyDescent="0.2">
      <c r="A659" s="3237" t="s">
        <v>4475</v>
      </c>
      <c r="B659" s="3237" t="s">
        <v>3883</v>
      </c>
      <c r="C659" s="3237" t="s">
        <v>4461</v>
      </c>
      <c r="D659" s="3237" t="s">
        <v>4462</v>
      </c>
      <c r="E659" s="3237" t="s">
        <v>4476</v>
      </c>
      <c r="F659" s="3237" t="s">
        <v>3662</v>
      </c>
      <c r="G659" s="3237" t="s">
        <v>3221</v>
      </c>
      <c r="H659" s="3236" t="s">
        <v>4464</v>
      </c>
      <c r="I659" s="3236">
        <v>29.09</v>
      </c>
    </row>
    <row r="660" spans="1:9" ht="11.25" hidden="1" customHeight="1" x14ac:dyDescent="0.2">
      <c r="A660" s="3237" t="s">
        <v>4475</v>
      </c>
      <c r="B660" s="3237" t="s">
        <v>3884</v>
      </c>
      <c r="C660" s="3237" t="s">
        <v>4461</v>
      </c>
      <c r="D660" s="3237" t="s">
        <v>4462</v>
      </c>
      <c r="E660" s="3237" t="s">
        <v>4476</v>
      </c>
      <c r="F660" s="3237" t="s">
        <v>3662</v>
      </c>
      <c r="G660" s="3237" t="s">
        <v>3221</v>
      </c>
      <c r="H660" s="3236" t="s">
        <v>4464</v>
      </c>
      <c r="I660" s="3236">
        <v>29.09</v>
      </c>
    </row>
    <row r="661" spans="1:9" ht="11.25" hidden="1" customHeight="1" x14ac:dyDescent="0.2">
      <c r="A661" s="3237" t="s">
        <v>4475</v>
      </c>
      <c r="B661" s="3237" t="s">
        <v>3885</v>
      </c>
      <c r="C661" s="3237" t="s">
        <v>4461</v>
      </c>
      <c r="D661" s="3237" t="s">
        <v>4462</v>
      </c>
      <c r="E661" s="3237" t="s">
        <v>4476</v>
      </c>
      <c r="F661" s="3237" t="s">
        <v>3662</v>
      </c>
      <c r="G661" s="3237" t="s">
        <v>3221</v>
      </c>
      <c r="H661" s="3236" t="s">
        <v>4464</v>
      </c>
      <c r="I661" s="3236">
        <v>29.09</v>
      </c>
    </row>
    <row r="662" spans="1:9" ht="11.25" hidden="1" customHeight="1" x14ac:dyDescent="0.2">
      <c r="A662" s="3237" t="s">
        <v>4475</v>
      </c>
      <c r="B662" s="3237" t="s">
        <v>3886</v>
      </c>
      <c r="C662" s="3237" t="s">
        <v>4461</v>
      </c>
      <c r="D662" s="3237" t="s">
        <v>4462</v>
      </c>
      <c r="E662" s="3237" t="s">
        <v>4476</v>
      </c>
      <c r="F662" s="3237" t="s">
        <v>3662</v>
      </c>
      <c r="G662" s="3237" t="s">
        <v>3221</v>
      </c>
      <c r="H662" s="3236" t="s">
        <v>4464</v>
      </c>
      <c r="I662" s="3236">
        <v>29.09</v>
      </c>
    </row>
    <row r="663" spans="1:9" ht="11.25" hidden="1" customHeight="1" x14ac:dyDescent="0.2">
      <c r="A663" s="3237" t="s">
        <v>4475</v>
      </c>
      <c r="B663" s="3237" t="s">
        <v>3887</v>
      </c>
      <c r="C663" s="3237" t="s">
        <v>4461</v>
      </c>
      <c r="D663" s="3237" t="s">
        <v>4462</v>
      </c>
      <c r="E663" s="3237" t="s">
        <v>4476</v>
      </c>
      <c r="F663" s="3237" t="s">
        <v>3662</v>
      </c>
      <c r="G663" s="3237" t="s">
        <v>3221</v>
      </c>
      <c r="H663" s="3236" t="s">
        <v>4464</v>
      </c>
      <c r="I663" s="3236">
        <v>29.09</v>
      </c>
    </row>
    <row r="664" spans="1:9" ht="11.25" hidden="1" customHeight="1" x14ac:dyDescent="0.2">
      <c r="A664" s="3237" t="s">
        <v>4475</v>
      </c>
      <c r="B664" s="3237" t="s">
        <v>3888</v>
      </c>
      <c r="C664" s="3237" t="s">
        <v>4461</v>
      </c>
      <c r="D664" s="3237" t="s">
        <v>4462</v>
      </c>
      <c r="E664" s="3237" t="s">
        <v>4476</v>
      </c>
      <c r="F664" s="3237" t="s">
        <v>3662</v>
      </c>
      <c r="G664" s="3237" t="s">
        <v>3221</v>
      </c>
      <c r="H664" s="3236" t="s">
        <v>4464</v>
      </c>
      <c r="I664" s="3236">
        <v>29.09</v>
      </c>
    </row>
    <row r="665" spans="1:9" ht="11.25" hidden="1" customHeight="1" x14ac:dyDescent="0.2">
      <c r="A665" s="3237" t="s">
        <v>4475</v>
      </c>
      <c r="B665" s="3237" t="s">
        <v>3889</v>
      </c>
      <c r="C665" s="3237" t="s">
        <v>4461</v>
      </c>
      <c r="D665" s="3237" t="s">
        <v>4462</v>
      </c>
      <c r="E665" s="3237" t="s">
        <v>4476</v>
      </c>
      <c r="F665" s="3237" t="s">
        <v>3662</v>
      </c>
      <c r="G665" s="3237" t="s">
        <v>3221</v>
      </c>
      <c r="H665" s="3236" t="s">
        <v>4464</v>
      </c>
      <c r="I665" s="3236">
        <v>29.09</v>
      </c>
    </row>
    <row r="666" spans="1:9" ht="11.25" hidden="1" customHeight="1" x14ac:dyDescent="0.2">
      <c r="A666" s="3237" t="s">
        <v>4475</v>
      </c>
      <c r="B666" s="3237" t="s">
        <v>3890</v>
      </c>
      <c r="C666" s="3237" t="s">
        <v>4461</v>
      </c>
      <c r="D666" s="3237" t="s">
        <v>4462</v>
      </c>
      <c r="E666" s="3237" t="s">
        <v>4476</v>
      </c>
      <c r="F666" s="3237" t="s">
        <v>3662</v>
      </c>
      <c r="G666" s="3237" t="s">
        <v>3221</v>
      </c>
      <c r="H666" s="3236" t="s">
        <v>4464</v>
      </c>
      <c r="I666" s="3236">
        <v>29.09</v>
      </c>
    </row>
    <row r="667" spans="1:9" ht="11.25" hidden="1" customHeight="1" x14ac:dyDescent="0.2">
      <c r="A667" s="3237" t="s">
        <v>4475</v>
      </c>
      <c r="B667" s="3237" t="s">
        <v>3891</v>
      </c>
      <c r="C667" s="3237" t="s">
        <v>4461</v>
      </c>
      <c r="D667" s="3237" t="s">
        <v>4462</v>
      </c>
      <c r="E667" s="3237" t="s">
        <v>4476</v>
      </c>
      <c r="F667" s="3237" t="s">
        <v>3662</v>
      </c>
      <c r="G667" s="3237" t="s">
        <v>3221</v>
      </c>
      <c r="H667" s="3236" t="s">
        <v>4464</v>
      </c>
      <c r="I667" s="3236">
        <v>29.09</v>
      </c>
    </row>
    <row r="668" spans="1:9" ht="11.25" hidden="1" customHeight="1" x14ac:dyDescent="0.2">
      <c r="A668" s="3237" t="s">
        <v>4475</v>
      </c>
      <c r="B668" s="3237" t="s">
        <v>3892</v>
      </c>
      <c r="C668" s="3237" t="s">
        <v>4461</v>
      </c>
      <c r="D668" s="3237" t="s">
        <v>4462</v>
      </c>
      <c r="E668" s="3237" t="s">
        <v>4476</v>
      </c>
      <c r="F668" s="3237" t="s">
        <v>3662</v>
      </c>
      <c r="G668" s="3237" t="s">
        <v>3221</v>
      </c>
      <c r="H668" s="3236" t="s">
        <v>4464</v>
      </c>
      <c r="I668" s="3236">
        <v>29.09</v>
      </c>
    </row>
    <row r="669" spans="1:9" ht="11.25" hidden="1" customHeight="1" x14ac:dyDescent="0.2">
      <c r="A669" s="3237" t="s">
        <v>4475</v>
      </c>
      <c r="B669" s="3237" t="s">
        <v>3893</v>
      </c>
      <c r="C669" s="3237" t="s">
        <v>4461</v>
      </c>
      <c r="D669" s="3237" t="s">
        <v>4462</v>
      </c>
      <c r="E669" s="3237" t="s">
        <v>4476</v>
      </c>
      <c r="F669" s="3237" t="s">
        <v>3662</v>
      </c>
      <c r="G669" s="3237" t="s">
        <v>3221</v>
      </c>
      <c r="H669" s="3236" t="s">
        <v>4464</v>
      </c>
      <c r="I669" s="3236">
        <v>29.09</v>
      </c>
    </row>
    <row r="670" spans="1:9" ht="11.25" hidden="1" customHeight="1" x14ac:dyDescent="0.2">
      <c r="A670" s="3237" t="s">
        <v>4475</v>
      </c>
      <c r="B670" s="3237" t="s">
        <v>3894</v>
      </c>
      <c r="C670" s="3237" t="s">
        <v>4461</v>
      </c>
      <c r="D670" s="3237" t="s">
        <v>4462</v>
      </c>
      <c r="E670" s="3237" t="s">
        <v>4476</v>
      </c>
      <c r="F670" s="3237" t="s">
        <v>3662</v>
      </c>
      <c r="G670" s="3237" t="s">
        <v>3221</v>
      </c>
      <c r="H670" s="3236" t="s">
        <v>4464</v>
      </c>
      <c r="I670" s="3236">
        <v>29.09</v>
      </c>
    </row>
    <row r="671" spans="1:9" ht="11.25" hidden="1" customHeight="1" x14ac:dyDescent="0.2">
      <c r="A671" s="3237" t="s">
        <v>4475</v>
      </c>
      <c r="B671" s="3237" t="s">
        <v>3895</v>
      </c>
      <c r="C671" s="3237" t="s">
        <v>4461</v>
      </c>
      <c r="D671" s="3237" t="s">
        <v>4462</v>
      </c>
      <c r="E671" s="3237" t="s">
        <v>4476</v>
      </c>
      <c r="F671" s="3237" t="s">
        <v>3662</v>
      </c>
      <c r="G671" s="3237" t="s">
        <v>3221</v>
      </c>
      <c r="H671" s="3236" t="s">
        <v>4464</v>
      </c>
      <c r="I671" s="3236">
        <v>29.09</v>
      </c>
    </row>
    <row r="672" spans="1:9" ht="11.25" hidden="1" customHeight="1" x14ac:dyDescent="0.2">
      <c r="A672" s="3237" t="s">
        <v>4475</v>
      </c>
      <c r="B672" s="3237" t="s">
        <v>3896</v>
      </c>
      <c r="C672" s="3237" t="s">
        <v>4461</v>
      </c>
      <c r="D672" s="3237" t="s">
        <v>4462</v>
      </c>
      <c r="E672" s="3237" t="s">
        <v>4476</v>
      </c>
      <c r="F672" s="3237" t="s">
        <v>3662</v>
      </c>
      <c r="G672" s="3237" t="s">
        <v>3221</v>
      </c>
      <c r="H672" s="3236" t="s">
        <v>4464</v>
      </c>
      <c r="I672" s="3236">
        <v>29.09</v>
      </c>
    </row>
    <row r="673" spans="1:9" ht="11.25" hidden="1" customHeight="1" x14ac:dyDescent="0.2">
      <c r="A673" s="3237" t="s">
        <v>4475</v>
      </c>
      <c r="B673" s="3237" t="s">
        <v>3897</v>
      </c>
      <c r="C673" s="3237" t="s">
        <v>4461</v>
      </c>
      <c r="D673" s="3237" t="s">
        <v>4462</v>
      </c>
      <c r="E673" s="3237" t="s">
        <v>4476</v>
      </c>
      <c r="F673" s="3237" t="s">
        <v>3662</v>
      </c>
      <c r="G673" s="3237" t="s">
        <v>3221</v>
      </c>
      <c r="H673" s="3236" t="s">
        <v>4464</v>
      </c>
      <c r="I673" s="3236">
        <v>29.09</v>
      </c>
    </row>
    <row r="674" spans="1:9" ht="11.25" hidden="1" customHeight="1" x14ac:dyDescent="0.2">
      <c r="A674" s="3237" t="s">
        <v>4475</v>
      </c>
      <c r="B674" s="3237" t="s">
        <v>3898</v>
      </c>
      <c r="C674" s="3237" t="s">
        <v>4461</v>
      </c>
      <c r="D674" s="3237" t="s">
        <v>4462</v>
      </c>
      <c r="E674" s="3237" t="s">
        <v>4476</v>
      </c>
      <c r="F674" s="3237" t="s">
        <v>3662</v>
      </c>
      <c r="G674" s="3237" t="s">
        <v>3221</v>
      </c>
      <c r="H674" s="3236" t="s">
        <v>4464</v>
      </c>
      <c r="I674" s="3236">
        <v>29.09</v>
      </c>
    </row>
    <row r="675" spans="1:9" ht="11.25" hidden="1" customHeight="1" x14ac:dyDescent="0.2">
      <c r="A675" s="3237" t="s">
        <v>4475</v>
      </c>
      <c r="B675" s="3237" t="s">
        <v>3899</v>
      </c>
      <c r="C675" s="3237" t="s">
        <v>4461</v>
      </c>
      <c r="D675" s="3237" t="s">
        <v>4462</v>
      </c>
      <c r="E675" s="3237" t="s">
        <v>4476</v>
      </c>
      <c r="F675" s="3237" t="s">
        <v>3662</v>
      </c>
      <c r="G675" s="3237" t="s">
        <v>3221</v>
      </c>
      <c r="H675" s="3236" t="s">
        <v>4464</v>
      </c>
      <c r="I675" s="3236">
        <v>29.09</v>
      </c>
    </row>
    <row r="676" spans="1:9" ht="11.25" hidden="1" customHeight="1" x14ac:dyDescent="0.2">
      <c r="A676" s="3237" t="s">
        <v>4475</v>
      </c>
      <c r="B676" s="3237" t="s">
        <v>3900</v>
      </c>
      <c r="C676" s="3237" t="s">
        <v>4461</v>
      </c>
      <c r="D676" s="3237" t="s">
        <v>4462</v>
      </c>
      <c r="E676" s="3237" t="s">
        <v>4476</v>
      </c>
      <c r="F676" s="3237" t="s">
        <v>3662</v>
      </c>
      <c r="G676" s="3237" t="s">
        <v>3221</v>
      </c>
      <c r="H676" s="3236" t="s">
        <v>4464</v>
      </c>
      <c r="I676" s="3236">
        <v>29.09</v>
      </c>
    </row>
    <row r="677" spans="1:9" ht="11.25" hidden="1" customHeight="1" x14ac:dyDescent="0.2">
      <c r="A677" s="3237" t="s">
        <v>4475</v>
      </c>
      <c r="B677" s="3237" t="s">
        <v>3901</v>
      </c>
      <c r="C677" s="3237" t="s">
        <v>4461</v>
      </c>
      <c r="D677" s="3237" t="s">
        <v>4462</v>
      </c>
      <c r="E677" s="3237" t="s">
        <v>4476</v>
      </c>
      <c r="F677" s="3237" t="s">
        <v>3662</v>
      </c>
      <c r="G677" s="3237" t="s">
        <v>3221</v>
      </c>
      <c r="H677" s="3236" t="s">
        <v>4464</v>
      </c>
      <c r="I677" s="3236">
        <v>29.09</v>
      </c>
    </row>
    <row r="678" spans="1:9" ht="11.25" hidden="1" customHeight="1" x14ac:dyDescent="0.2">
      <c r="A678" s="3237" t="s">
        <v>4475</v>
      </c>
      <c r="B678" s="3237" t="s">
        <v>3902</v>
      </c>
      <c r="C678" s="3237" t="s">
        <v>4461</v>
      </c>
      <c r="D678" s="3237" t="s">
        <v>4462</v>
      </c>
      <c r="E678" s="3237" t="s">
        <v>4476</v>
      </c>
      <c r="F678" s="3237" t="s">
        <v>3662</v>
      </c>
      <c r="G678" s="3237" t="s">
        <v>3221</v>
      </c>
      <c r="H678" s="3236" t="s">
        <v>4464</v>
      </c>
      <c r="I678" s="3236">
        <v>29.09</v>
      </c>
    </row>
    <row r="679" spans="1:9" ht="11.25" hidden="1" customHeight="1" x14ac:dyDescent="0.2">
      <c r="A679" s="3237" t="s">
        <v>4475</v>
      </c>
      <c r="B679" s="3237" t="s">
        <v>3903</v>
      </c>
      <c r="C679" s="3237" t="s">
        <v>4461</v>
      </c>
      <c r="D679" s="3237" t="s">
        <v>4462</v>
      </c>
      <c r="E679" s="3237" t="s">
        <v>4476</v>
      </c>
      <c r="F679" s="3237" t="s">
        <v>3662</v>
      </c>
      <c r="G679" s="3237" t="s">
        <v>3221</v>
      </c>
      <c r="H679" s="3236" t="s">
        <v>4464</v>
      </c>
      <c r="I679" s="3236">
        <v>29.09</v>
      </c>
    </row>
    <row r="680" spans="1:9" ht="11.25" hidden="1" customHeight="1" x14ac:dyDescent="0.2">
      <c r="A680" s="3237" t="s">
        <v>4475</v>
      </c>
      <c r="B680" s="3237" t="s">
        <v>3904</v>
      </c>
      <c r="C680" s="3237" t="s">
        <v>4461</v>
      </c>
      <c r="D680" s="3237" t="s">
        <v>4462</v>
      </c>
      <c r="E680" s="3237" t="s">
        <v>4476</v>
      </c>
      <c r="F680" s="3237" t="s">
        <v>3662</v>
      </c>
      <c r="G680" s="3237" t="s">
        <v>3221</v>
      </c>
      <c r="H680" s="3236" t="s">
        <v>4464</v>
      </c>
      <c r="I680" s="3236">
        <v>29.09</v>
      </c>
    </row>
    <row r="681" spans="1:9" ht="11.25" hidden="1" customHeight="1" x14ac:dyDescent="0.2">
      <c r="A681" s="3237" t="s">
        <v>4475</v>
      </c>
      <c r="B681" s="3237" t="s">
        <v>3905</v>
      </c>
      <c r="C681" s="3237" t="s">
        <v>4461</v>
      </c>
      <c r="D681" s="3237" t="s">
        <v>4462</v>
      </c>
      <c r="E681" s="3237" t="s">
        <v>4476</v>
      </c>
      <c r="F681" s="3237" t="s">
        <v>3662</v>
      </c>
      <c r="G681" s="3237" t="s">
        <v>3221</v>
      </c>
      <c r="H681" s="3236" t="s">
        <v>4464</v>
      </c>
      <c r="I681" s="3236">
        <v>29.09</v>
      </c>
    </row>
    <row r="682" spans="1:9" ht="11.25" hidden="1" customHeight="1" x14ac:dyDescent="0.2">
      <c r="A682" s="3237" t="s">
        <v>4475</v>
      </c>
      <c r="B682" s="3237" t="s">
        <v>3906</v>
      </c>
      <c r="C682" s="3237" t="s">
        <v>4461</v>
      </c>
      <c r="D682" s="3237" t="s">
        <v>4462</v>
      </c>
      <c r="E682" s="3237" t="s">
        <v>4476</v>
      </c>
      <c r="F682" s="3237" t="s">
        <v>3662</v>
      </c>
      <c r="G682" s="3237" t="s">
        <v>3221</v>
      </c>
      <c r="H682" s="3236" t="s">
        <v>4464</v>
      </c>
      <c r="I682" s="3236">
        <v>29.09</v>
      </c>
    </row>
    <row r="683" spans="1:9" ht="11.25" hidden="1" customHeight="1" x14ac:dyDescent="0.2">
      <c r="A683" s="3237" t="s">
        <v>4475</v>
      </c>
      <c r="B683" s="3237" t="s">
        <v>3907</v>
      </c>
      <c r="C683" s="3237" t="s">
        <v>4461</v>
      </c>
      <c r="D683" s="3237" t="s">
        <v>4462</v>
      </c>
      <c r="E683" s="3237" t="s">
        <v>4476</v>
      </c>
      <c r="F683" s="3237" t="s">
        <v>3662</v>
      </c>
      <c r="G683" s="3237" t="s">
        <v>3221</v>
      </c>
      <c r="H683" s="3236" t="s">
        <v>4464</v>
      </c>
      <c r="I683" s="3236">
        <v>29.09</v>
      </c>
    </row>
    <row r="684" spans="1:9" ht="11.25" hidden="1" customHeight="1" x14ac:dyDescent="0.2">
      <c r="A684" s="3237" t="s">
        <v>4475</v>
      </c>
      <c r="B684" s="3237" t="s">
        <v>3908</v>
      </c>
      <c r="C684" s="3237" t="s">
        <v>4461</v>
      </c>
      <c r="D684" s="3237" t="s">
        <v>4462</v>
      </c>
      <c r="E684" s="3237" t="s">
        <v>4476</v>
      </c>
      <c r="F684" s="3237" t="s">
        <v>3662</v>
      </c>
      <c r="G684" s="3237" t="s">
        <v>3221</v>
      </c>
      <c r="H684" s="3236" t="s">
        <v>4464</v>
      </c>
      <c r="I684" s="3236">
        <v>29.09</v>
      </c>
    </row>
    <row r="685" spans="1:9" ht="11.25" hidden="1" customHeight="1" x14ac:dyDescent="0.2">
      <c r="A685" s="3237" t="s">
        <v>4475</v>
      </c>
      <c r="B685" s="3237" t="s">
        <v>3909</v>
      </c>
      <c r="C685" s="3237" t="s">
        <v>4461</v>
      </c>
      <c r="D685" s="3237" t="s">
        <v>4462</v>
      </c>
      <c r="E685" s="3237" t="s">
        <v>4476</v>
      </c>
      <c r="F685" s="3237" t="s">
        <v>3662</v>
      </c>
      <c r="G685" s="3237" t="s">
        <v>3221</v>
      </c>
      <c r="H685" s="3236" t="s">
        <v>4464</v>
      </c>
      <c r="I685" s="3236">
        <v>29.09</v>
      </c>
    </row>
    <row r="686" spans="1:9" ht="11.25" hidden="1" customHeight="1" x14ac:dyDescent="0.2">
      <c r="A686" s="3237" t="s">
        <v>4475</v>
      </c>
      <c r="B686" s="3237" t="s">
        <v>3910</v>
      </c>
      <c r="C686" s="3237" t="s">
        <v>4461</v>
      </c>
      <c r="D686" s="3237" t="s">
        <v>4462</v>
      </c>
      <c r="E686" s="3237" t="s">
        <v>4476</v>
      </c>
      <c r="F686" s="3237" t="s">
        <v>3662</v>
      </c>
      <c r="G686" s="3237" t="s">
        <v>3221</v>
      </c>
      <c r="H686" s="3236" t="s">
        <v>4464</v>
      </c>
      <c r="I686" s="3236">
        <v>29.09</v>
      </c>
    </row>
    <row r="687" spans="1:9" ht="11.25" hidden="1" customHeight="1" x14ac:dyDescent="0.2">
      <c r="A687" s="3237" t="s">
        <v>4475</v>
      </c>
      <c r="B687" s="3237" t="s">
        <v>3911</v>
      </c>
      <c r="C687" s="3237" t="s">
        <v>4461</v>
      </c>
      <c r="D687" s="3237" t="s">
        <v>4462</v>
      </c>
      <c r="E687" s="3237" t="s">
        <v>4476</v>
      </c>
      <c r="F687" s="3237" t="s">
        <v>3662</v>
      </c>
      <c r="G687" s="3237" t="s">
        <v>3221</v>
      </c>
      <c r="H687" s="3236" t="s">
        <v>4464</v>
      </c>
      <c r="I687" s="3236">
        <v>29.09</v>
      </c>
    </row>
    <row r="688" spans="1:9" ht="11.25" hidden="1" customHeight="1" x14ac:dyDescent="0.2">
      <c r="A688" s="3237" t="s">
        <v>4475</v>
      </c>
      <c r="B688" s="3237" t="s">
        <v>3912</v>
      </c>
      <c r="C688" s="3237" t="s">
        <v>4461</v>
      </c>
      <c r="D688" s="3237" t="s">
        <v>4462</v>
      </c>
      <c r="E688" s="3237" t="s">
        <v>4476</v>
      </c>
      <c r="F688" s="3237" t="s">
        <v>3662</v>
      </c>
      <c r="G688" s="3237" t="s">
        <v>3221</v>
      </c>
      <c r="H688" s="3236" t="s">
        <v>4464</v>
      </c>
      <c r="I688" s="3236">
        <v>29.09</v>
      </c>
    </row>
    <row r="689" spans="1:9" ht="11.25" hidden="1" customHeight="1" x14ac:dyDescent="0.2">
      <c r="A689" s="3237" t="s">
        <v>4475</v>
      </c>
      <c r="B689" s="3237" t="s">
        <v>3913</v>
      </c>
      <c r="C689" s="3237" t="s">
        <v>4461</v>
      </c>
      <c r="D689" s="3237" t="s">
        <v>4462</v>
      </c>
      <c r="E689" s="3237" t="s">
        <v>4476</v>
      </c>
      <c r="F689" s="3237" t="s">
        <v>3662</v>
      </c>
      <c r="G689" s="3237" t="s">
        <v>3221</v>
      </c>
      <c r="H689" s="3236" t="s">
        <v>4464</v>
      </c>
      <c r="I689" s="3236">
        <v>29.09</v>
      </c>
    </row>
    <row r="690" spans="1:9" ht="11.25" hidden="1" customHeight="1" x14ac:dyDescent="0.2">
      <c r="A690" s="3237" t="s">
        <v>4475</v>
      </c>
      <c r="B690" s="3237" t="s">
        <v>3914</v>
      </c>
      <c r="C690" s="3237" t="s">
        <v>4461</v>
      </c>
      <c r="D690" s="3237" t="s">
        <v>4462</v>
      </c>
      <c r="E690" s="3237" t="s">
        <v>4476</v>
      </c>
      <c r="F690" s="3237" t="s">
        <v>3662</v>
      </c>
      <c r="G690" s="3237" t="s">
        <v>3221</v>
      </c>
      <c r="H690" s="3236" t="s">
        <v>4464</v>
      </c>
      <c r="I690" s="3236">
        <v>29.09</v>
      </c>
    </row>
    <row r="691" spans="1:9" ht="11.25" hidden="1" customHeight="1" x14ac:dyDescent="0.2">
      <c r="A691" s="3237" t="s">
        <v>4475</v>
      </c>
      <c r="B691" s="3237" t="s">
        <v>3915</v>
      </c>
      <c r="C691" s="3237" t="s">
        <v>4461</v>
      </c>
      <c r="D691" s="3237" t="s">
        <v>4462</v>
      </c>
      <c r="E691" s="3237" t="s">
        <v>4476</v>
      </c>
      <c r="F691" s="3237" t="s">
        <v>3662</v>
      </c>
      <c r="G691" s="3237" t="s">
        <v>3221</v>
      </c>
      <c r="H691" s="3236" t="s">
        <v>4464</v>
      </c>
      <c r="I691" s="3236">
        <v>29.09</v>
      </c>
    </row>
    <row r="692" spans="1:9" ht="11.25" hidden="1" customHeight="1" x14ac:dyDescent="0.2">
      <c r="A692" s="3237" t="s">
        <v>4475</v>
      </c>
      <c r="B692" s="3237" t="s">
        <v>3916</v>
      </c>
      <c r="C692" s="3237" t="s">
        <v>4461</v>
      </c>
      <c r="D692" s="3237" t="s">
        <v>4462</v>
      </c>
      <c r="E692" s="3237" t="s">
        <v>4476</v>
      </c>
      <c r="F692" s="3237" t="s">
        <v>3662</v>
      </c>
      <c r="G692" s="3237" t="s">
        <v>3221</v>
      </c>
      <c r="H692" s="3236" t="s">
        <v>4464</v>
      </c>
      <c r="I692" s="3236">
        <v>29.09</v>
      </c>
    </row>
    <row r="693" spans="1:9" ht="11.25" hidden="1" customHeight="1" x14ac:dyDescent="0.2">
      <c r="A693" s="3237" t="s">
        <v>4475</v>
      </c>
      <c r="B693" s="3237" t="s">
        <v>3917</v>
      </c>
      <c r="C693" s="3237" t="s">
        <v>4461</v>
      </c>
      <c r="D693" s="3237" t="s">
        <v>4462</v>
      </c>
      <c r="E693" s="3237" t="s">
        <v>4476</v>
      </c>
      <c r="F693" s="3237" t="s">
        <v>3662</v>
      </c>
      <c r="G693" s="3237" t="s">
        <v>3221</v>
      </c>
      <c r="H693" s="3236" t="s">
        <v>4464</v>
      </c>
      <c r="I693" s="3236">
        <v>29.09</v>
      </c>
    </row>
    <row r="694" spans="1:9" ht="11.25" hidden="1" customHeight="1" x14ac:dyDescent="0.2">
      <c r="A694" s="3237" t="s">
        <v>4475</v>
      </c>
      <c r="B694" s="3237" t="s">
        <v>3918</v>
      </c>
      <c r="C694" s="3237" t="s">
        <v>4461</v>
      </c>
      <c r="D694" s="3237" t="s">
        <v>4462</v>
      </c>
      <c r="E694" s="3237" t="s">
        <v>4476</v>
      </c>
      <c r="F694" s="3237" t="s">
        <v>3662</v>
      </c>
      <c r="G694" s="3237" t="s">
        <v>3221</v>
      </c>
      <c r="H694" s="3236" t="s">
        <v>4464</v>
      </c>
      <c r="I694" s="3236">
        <v>29.09</v>
      </c>
    </row>
    <row r="695" spans="1:9" ht="11.25" hidden="1" customHeight="1" x14ac:dyDescent="0.2">
      <c r="A695" s="3237" t="s">
        <v>4475</v>
      </c>
      <c r="B695" s="3237" t="s">
        <v>3919</v>
      </c>
      <c r="C695" s="3237" t="s">
        <v>4461</v>
      </c>
      <c r="D695" s="3237" t="s">
        <v>4462</v>
      </c>
      <c r="E695" s="3237" t="s">
        <v>4476</v>
      </c>
      <c r="F695" s="3237" t="s">
        <v>3662</v>
      </c>
      <c r="G695" s="3237" t="s">
        <v>3221</v>
      </c>
      <c r="H695" s="3236" t="s">
        <v>4464</v>
      </c>
      <c r="I695" s="3236">
        <v>29.09</v>
      </c>
    </row>
    <row r="696" spans="1:9" ht="11.25" hidden="1" customHeight="1" x14ac:dyDescent="0.2">
      <c r="A696" s="3237" t="s">
        <v>4475</v>
      </c>
      <c r="B696" s="3237" t="s">
        <v>3920</v>
      </c>
      <c r="C696" s="3237" t="s">
        <v>4461</v>
      </c>
      <c r="D696" s="3237" t="s">
        <v>4462</v>
      </c>
      <c r="E696" s="3237" t="s">
        <v>4476</v>
      </c>
      <c r="F696" s="3237" t="s">
        <v>3662</v>
      </c>
      <c r="G696" s="3237" t="s">
        <v>3221</v>
      </c>
      <c r="H696" s="3236" t="s">
        <v>4464</v>
      </c>
      <c r="I696" s="3236">
        <v>29.09</v>
      </c>
    </row>
    <row r="697" spans="1:9" ht="11.25" hidden="1" customHeight="1" x14ac:dyDescent="0.2">
      <c r="A697" s="3237" t="s">
        <v>4475</v>
      </c>
      <c r="B697" s="3237" t="s">
        <v>3921</v>
      </c>
      <c r="C697" s="3237" t="s">
        <v>4461</v>
      </c>
      <c r="D697" s="3237" t="s">
        <v>4462</v>
      </c>
      <c r="E697" s="3237" t="s">
        <v>4476</v>
      </c>
      <c r="F697" s="3237" t="s">
        <v>3662</v>
      </c>
      <c r="G697" s="3237" t="s">
        <v>3221</v>
      </c>
      <c r="H697" s="3236" t="s">
        <v>4464</v>
      </c>
      <c r="I697" s="3236">
        <v>29.09</v>
      </c>
    </row>
    <row r="698" spans="1:9" ht="11.25" hidden="1" customHeight="1" x14ac:dyDescent="0.2">
      <c r="A698" s="3237" t="s">
        <v>4475</v>
      </c>
      <c r="B698" s="3237" t="s">
        <v>3922</v>
      </c>
      <c r="C698" s="3237" t="s">
        <v>4461</v>
      </c>
      <c r="D698" s="3237" t="s">
        <v>4462</v>
      </c>
      <c r="E698" s="3237" t="s">
        <v>4476</v>
      </c>
      <c r="F698" s="3237" t="s">
        <v>3662</v>
      </c>
      <c r="G698" s="3237" t="s">
        <v>3221</v>
      </c>
      <c r="H698" s="3236" t="s">
        <v>4464</v>
      </c>
      <c r="I698" s="3236">
        <v>29.09</v>
      </c>
    </row>
    <row r="699" spans="1:9" ht="11.25" hidden="1" customHeight="1" x14ac:dyDescent="0.2">
      <c r="A699" s="3237" t="s">
        <v>4475</v>
      </c>
      <c r="B699" s="3237" t="s">
        <v>3923</v>
      </c>
      <c r="C699" s="3237" t="s">
        <v>4461</v>
      </c>
      <c r="D699" s="3237" t="s">
        <v>4462</v>
      </c>
      <c r="E699" s="3237" t="s">
        <v>4476</v>
      </c>
      <c r="F699" s="3237" t="s">
        <v>3662</v>
      </c>
      <c r="G699" s="3237" t="s">
        <v>3221</v>
      </c>
      <c r="H699" s="3236" t="s">
        <v>4464</v>
      </c>
      <c r="I699" s="3236">
        <v>29.09</v>
      </c>
    </row>
    <row r="700" spans="1:9" ht="11.25" hidden="1" customHeight="1" x14ac:dyDescent="0.2">
      <c r="A700" s="3237" t="s">
        <v>4475</v>
      </c>
      <c r="B700" s="3237" t="s">
        <v>3924</v>
      </c>
      <c r="C700" s="3237" t="s">
        <v>4461</v>
      </c>
      <c r="D700" s="3237" t="s">
        <v>4462</v>
      </c>
      <c r="E700" s="3237" t="s">
        <v>4476</v>
      </c>
      <c r="F700" s="3237" t="s">
        <v>3662</v>
      </c>
      <c r="G700" s="3237" t="s">
        <v>3221</v>
      </c>
      <c r="H700" s="3236" t="s">
        <v>4464</v>
      </c>
      <c r="I700" s="3236">
        <v>29.09</v>
      </c>
    </row>
    <row r="701" spans="1:9" ht="11.25" hidden="1" customHeight="1" x14ac:dyDescent="0.2">
      <c r="A701" s="3237" t="s">
        <v>4475</v>
      </c>
      <c r="B701" s="3237" t="s">
        <v>3925</v>
      </c>
      <c r="C701" s="3237" t="s">
        <v>4461</v>
      </c>
      <c r="D701" s="3237" t="s">
        <v>4462</v>
      </c>
      <c r="E701" s="3237" t="s">
        <v>4476</v>
      </c>
      <c r="F701" s="3237" t="s">
        <v>3662</v>
      </c>
      <c r="G701" s="3237" t="s">
        <v>3221</v>
      </c>
      <c r="H701" s="3236" t="s">
        <v>4464</v>
      </c>
      <c r="I701" s="3236">
        <v>29.09</v>
      </c>
    </row>
    <row r="702" spans="1:9" ht="11.25" hidden="1" customHeight="1" x14ac:dyDescent="0.2">
      <c r="A702" s="3237" t="s">
        <v>4475</v>
      </c>
      <c r="B702" s="3237" t="s">
        <v>3926</v>
      </c>
      <c r="C702" s="3237" t="s">
        <v>4461</v>
      </c>
      <c r="D702" s="3237" t="s">
        <v>4462</v>
      </c>
      <c r="E702" s="3237" t="s">
        <v>4476</v>
      </c>
      <c r="F702" s="3237" t="s">
        <v>3662</v>
      </c>
      <c r="G702" s="3237" t="s">
        <v>3221</v>
      </c>
      <c r="H702" s="3236" t="s">
        <v>4464</v>
      </c>
      <c r="I702" s="3236">
        <v>29.09</v>
      </c>
    </row>
    <row r="703" spans="1:9" ht="11.25" hidden="1" customHeight="1" x14ac:dyDescent="0.2">
      <c r="A703" s="3237" t="s">
        <v>4475</v>
      </c>
      <c r="B703" s="3237" t="s">
        <v>3927</v>
      </c>
      <c r="C703" s="3237" t="s">
        <v>4461</v>
      </c>
      <c r="D703" s="3237" t="s">
        <v>4462</v>
      </c>
      <c r="E703" s="3237" t="s">
        <v>4476</v>
      </c>
      <c r="F703" s="3237" t="s">
        <v>3662</v>
      </c>
      <c r="G703" s="3237" t="s">
        <v>3221</v>
      </c>
      <c r="H703" s="3236" t="s">
        <v>4464</v>
      </c>
      <c r="I703" s="3236">
        <v>29.09</v>
      </c>
    </row>
    <row r="704" spans="1:9" ht="11.25" hidden="1" customHeight="1" x14ac:dyDescent="0.2">
      <c r="A704" s="3237" t="s">
        <v>4475</v>
      </c>
      <c r="B704" s="3237" t="s">
        <v>3928</v>
      </c>
      <c r="C704" s="3237" t="s">
        <v>4461</v>
      </c>
      <c r="D704" s="3237" t="s">
        <v>4462</v>
      </c>
      <c r="E704" s="3237" t="s">
        <v>4476</v>
      </c>
      <c r="F704" s="3237" t="s">
        <v>3662</v>
      </c>
      <c r="G704" s="3237" t="s">
        <v>3221</v>
      </c>
      <c r="H704" s="3236" t="s">
        <v>4464</v>
      </c>
      <c r="I704" s="3236">
        <v>29.09</v>
      </c>
    </row>
    <row r="705" spans="1:9" ht="11.25" hidden="1" customHeight="1" x14ac:dyDescent="0.2">
      <c r="A705" s="3237" t="s">
        <v>4475</v>
      </c>
      <c r="B705" s="3237" t="s">
        <v>3929</v>
      </c>
      <c r="C705" s="3237" t="s">
        <v>4461</v>
      </c>
      <c r="D705" s="3237" t="s">
        <v>4462</v>
      </c>
      <c r="E705" s="3237" t="s">
        <v>4476</v>
      </c>
      <c r="F705" s="3237" t="s">
        <v>3662</v>
      </c>
      <c r="G705" s="3237" t="s">
        <v>3221</v>
      </c>
      <c r="H705" s="3236" t="s">
        <v>4464</v>
      </c>
      <c r="I705" s="3236">
        <v>29.09</v>
      </c>
    </row>
    <row r="706" spans="1:9" ht="11.25" hidden="1" customHeight="1" x14ac:dyDescent="0.2">
      <c r="A706" s="3237" t="s">
        <v>4475</v>
      </c>
      <c r="B706" s="3237" t="s">
        <v>3930</v>
      </c>
      <c r="C706" s="3237" t="s">
        <v>4461</v>
      </c>
      <c r="D706" s="3237" t="s">
        <v>4462</v>
      </c>
      <c r="E706" s="3237" t="s">
        <v>4476</v>
      </c>
      <c r="F706" s="3237" t="s">
        <v>3662</v>
      </c>
      <c r="G706" s="3237" t="s">
        <v>3221</v>
      </c>
      <c r="H706" s="3236" t="s">
        <v>4464</v>
      </c>
      <c r="I706" s="3236">
        <v>29.09</v>
      </c>
    </row>
    <row r="707" spans="1:9" ht="11.25" hidden="1" customHeight="1" x14ac:dyDescent="0.2">
      <c r="A707" s="3237" t="s">
        <v>4475</v>
      </c>
      <c r="B707" s="3237" t="s">
        <v>3931</v>
      </c>
      <c r="C707" s="3237" t="s">
        <v>4461</v>
      </c>
      <c r="D707" s="3237" t="s">
        <v>4462</v>
      </c>
      <c r="E707" s="3237" t="s">
        <v>4476</v>
      </c>
      <c r="F707" s="3237" t="s">
        <v>3662</v>
      </c>
      <c r="G707" s="3237" t="s">
        <v>3221</v>
      </c>
      <c r="H707" s="3236" t="s">
        <v>4464</v>
      </c>
      <c r="I707" s="3236">
        <v>29.09</v>
      </c>
    </row>
    <row r="708" spans="1:9" ht="11.25" hidden="1" customHeight="1" x14ac:dyDescent="0.2">
      <c r="A708" s="3237" t="s">
        <v>4475</v>
      </c>
      <c r="B708" s="3237" t="s">
        <v>3932</v>
      </c>
      <c r="C708" s="3237" t="s">
        <v>4461</v>
      </c>
      <c r="D708" s="3237" t="s">
        <v>4462</v>
      </c>
      <c r="E708" s="3237" t="s">
        <v>4476</v>
      </c>
      <c r="F708" s="3237" t="s">
        <v>3662</v>
      </c>
      <c r="G708" s="3237" t="s">
        <v>3221</v>
      </c>
      <c r="H708" s="3236" t="s">
        <v>4464</v>
      </c>
      <c r="I708" s="3236">
        <v>29.09</v>
      </c>
    </row>
    <row r="709" spans="1:9" ht="11.25" hidden="1" customHeight="1" x14ac:dyDescent="0.2">
      <c r="A709" s="3237" t="s">
        <v>4475</v>
      </c>
      <c r="B709" s="3237" t="s">
        <v>3933</v>
      </c>
      <c r="C709" s="3237" t="s">
        <v>4461</v>
      </c>
      <c r="D709" s="3237" t="s">
        <v>4462</v>
      </c>
      <c r="E709" s="3237" t="s">
        <v>4476</v>
      </c>
      <c r="F709" s="3237" t="s">
        <v>3662</v>
      </c>
      <c r="G709" s="3237" t="s">
        <v>3221</v>
      </c>
      <c r="H709" s="3236" t="s">
        <v>4464</v>
      </c>
      <c r="I709" s="3236">
        <v>29.09</v>
      </c>
    </row>
    <row r="710" spans="1:9" ht="11.25" hidden="1" customHeight="1" x14ac:dyDescent="0.2">
      <c r="A710" s="3237" t="s">
        <v>4475</v>
      </c>
      <c r="B710" s="3237" t="s">
        <v>3934</v>
      </c>
      <c r="C710" s="3237" t="s">
        <v>4461</v>
      </c>
      <c r="D710" s="3237" t="s">
        <v>4462</v>
      </c>
      <c r="E710" s="3237" t="s">
        <v>4476</v>
      </c>
      <c r="F710" s="3237" t="s">
        <v>3662</v>
      </c>
      <c r="G710" s="3237" t="s">
        <v>3221</v>
      </c>
      <c r="H710" s="3236" t="s">
        <v>4464</v>
      </c>
      <c r="I710" s="3236">
        <v>29.09</v>
      </c>
    </row>
    <row r="711" spans="1:9" ht="11.25" hidden="1" customHeight="1" x14ac:dyDescent="0.2">
      <c r="A711" s="3237" t="s">
        <v>4475</v>
      </c>
      <c r="B711" s="3237" t="s">
        <v>3935</v>
      </c>
      <c r="C711" s="3237" t="s">
        <v>4461</v>
      </c>
      <c r="D711" s="3237" t="s">
        <v>4462</v>
      </c>
      <c r="E711" s="3237" t="s">
        <v>4476</v>
      </c>
      <c r="F711" s="3237" t="s">
        <v>3662</v>
      </c>
      <c r="G711" s="3237" t="s">
        <v>3221</v>
      </c>
      <c r="H711" s="3236" t="s">
        <v>4464</v>
      </c>
      <c r="I711" s="3236">
        <v>29.09</v>
      </c>
    </row>
    <row r="712" spans="1:9" ht="11.25" hidden="1" customHeight="1" x14ac:dyDescent="0.2">
      <c r="A712" s="3237" t="s">
        <v>4475</v>
      </c>
      <c r="B712" s="3237" t="s">
        <v>3936</v>
      </c>
      <c r="C712" s="3237" t="s">
        <v>4461</v>
      </c>
      <c r="D712" s="3237" t="s">
        <v>4462</v>
      </c>
      <c r="E712" s="3237" t="s">
        <v>4476</v>
      </c>
      <c r="F712" s="3237" t="s">
        <v>3662</v>
      </c>
      <c r="G712" s="3237" t="s">
        <v>3221</v>
      </c>
      <c r="H712" s="3236" t="s">
        <v>4464</v>
      </c>
      <c r="I712" s="3236">
        <v>29.09</v>
      </c>
    </row>
    <row r="713" spans="1:9" ht="11.25" hidden="1" customHeight="1" x14ac:dyDescent="0.2">
      <c r="A713" s="3237" t="s">
        <v>4475</v>
      </c>
      <c r="B713" s="3237" t="s">
        <v>3937</v>
      </c>
      <c r="C713" s="3237" t="s">
        <v>4461</v>
      </c>
      <c r="D713" s="3237" t="s">
        <v>4462</v>
      </c>
      <c r="E713" s="3237" t="s">
        <v>4476</v>
      </c>
      <c r="F713" s="3237" t="s">
        <v>3662</v>
      </c>
      <c r="G713" s="3237" t="s">
        <v>3221</v>
      </c>
      <c r="H713" s="3236" t="s">
        <v>4464</v>
      </c>
      <c r="I713" s="3236">
        <v>29.09</v>
      </c>
    </row>
    <row r="714" spans="1:9" ht="11.25" hidden="1" customHeight="1" x14ac:dyDescent="0.2">
      <c r="A714" s="3237" t="s">
        <v>4475</v>
      </c>
      <c r="B714" s="3237" t="s">
        <v>3938</v>
      </c>
      <c r="C714" s="3237" t="s">
        <v>4461</v>
      </c>
      <c r="D714" s="3237" t="s">
        <v>4462</v>
      </c>
      <c r="E714" s="3237" t="s">
        <v>4476</v>
      </c>
      <c r="F714" s="3237" t="s">
        <v>3662</v>
      </c>
      <c r="G714" s="3237" t="s">
        <v>3221</v>
      </c>
      <c r="H714" s="3236" t="s">
        <v>4464</v>
      </c>
      <c r="I714" s="3236">
        <v>29.09</v>
      </c>
    </row>
    <row r="715" spans="1:9" ht="11.25" hidden="1" customHeight="1" x14ac:dyDescent="0.2">
      <c r="A715" s="3237" t="s">
        <v>4475</v>
      </c>
      <c r="B715" s="3237" t="s">
        <v>3939</v>
      </c>
      <c r="C715" s="3237" t="s">
        <v>4461</v>
      </c>
      <c r="D715" s="3237" t="s">
        <v>4462</v>
      </c>
      <c r="E715" s="3237" t="s">
        <v>4476</v>
      </c>
      <c r="F715" s="3237" t="s">
        <v>3662</v>
      </c>
      <c r="G715" s="3237" t="s">
        <v>3221</v>
      </c>
      <c r="H715" s="3236" t="s">
        <v>4464</v>
      </c>
      <c r="I715" s="3236">
        <v>29.09</v>
      </c>
    </row>
    <row r="716" spans="1:9" ht="11.25" hidden="1" customHeight="1" x14ac:dyDescent="0.2">
      <c r="A716" s="3237" t="s">
        <v>4475</v>
      </c>
      <c r="B716" s="3237" t="s">
        <v>3940</v>
      </c>
      <c r="C716" s="3237" t="s">
        <v>4461</v>
      </c>
      <c r="D716" s="3237" t="s">
        <v>4462</v>
      </c>
      <c r="E716" s="3237" t="s">
        <v>4476</v>
      </c>
      <c r="F716" s="3237" t="s">
        <v>3662</v>
      </c>
      <c r="G716" s="3237" t="s">
        <v>3221</v>
      </c>
      <c r="H716" s="3236" t="s">
        <v>4464</v>
      </c>
      <c r="I716" s="3236">
        <v>29.09</v>
      </c>
    </row>
    <row r="717" spans="1:9" ht="11.25" hidden="1" customHeight="1" x14ac:dyDescent="0.2">
      <c r="A717" s="3237" t="s">
        <v>4475</v>
      </c>
      <c r="B717" s="3237" t="s">
        <v>3941</v>
      </c>
      <c r="C717" s="3237" t="s">
        <v>4461</v>
      </c>
      <c r="D717" s="3237" t="s">
        <v>4462</v>
      </c>
      <c r="E717" s="3237" t="s">
        <v>4476</v>
      </c>
      <c r="F717" s="3237" t="s">
        <v>3662</v>
      </c>
      <c r="G717" s="3237" t="s">
        <v>3221</v>
      </c>
      <c r="H717" s="3236" t="s">
        <v>4464</v>
      </c>
      <c r="I717" s="3236">
        <v>29.09</v>
      </c>
    </row>
    <row r="718" spans="1:9" ht="11.25" hidden="1" customHeight="1" x14ac:dyDescent="0.2">
      <c r="A718" s="3237" t="s">
        <v>4475</v>
      </c>
      <c r="B718" s="3237" t="s">
        <v>3942</v>
      </c>
      <c r="C718" s="3237" t="s">
        <v>4461</v>
      </c>
      <c r="D718" s="3237" t="s">
        <v>4462</v>
      </c>
      <c r="E718" s="3237" t="s">
        <v>4476</v>
      </c>
      <c r="F718" s="3237" t="s">
        <v>3662</v>
      </c>
      <c r="G718" s="3237" t="s">
        <v>3221</v>
      </c>
      <c r="H718" s="3236" t="s">
        <v>4464</v>
      </c>
      <c r="I718" s="3236">
        <v>29.09</v>
      </c>
    </row>
    <row r="719" spans="1:9" ht="11.25" hidden="1" customHeight="1" x14ac:dyDescent="0.2">
      <c r="A719" s="3237" t="s">
        <v>4475</v>
      </c>
      <c r="B719" s="3237" t="s">
        <v>3943</v>
      </c>
      <c r="C719" s="3237" t="s">
        <v>4461</v>
      </c>
      <c r="D719" s="3237" t="s">
        <v>4462</v>
      </c>
      <c r="E719" s="3237" t="s">
        <v>4476</v>
      </c>
      <c r="F719" s="3237" t="s">
        <v>3662</v>
      </c>
      <c r="G719" s="3237" t="s">
        <v>3221</v>
      </c>
      <c r="H719" s="3236" t="s">
        <v>4464</v>
      </c>
      <c r="I719" s="3236">
        <v>29.09</v>
      </c>
    </row>
    <row r="720" spans="1:9" ht="11.25" hidden="1" customHeight="1" x14ac:dyDescent="0.2">
      <c r="A720" s="3237" t="s">
        <v>4475</v>
      </c>
      <c r="B720" s="3237" t="s">
        <v>3944</v>
      </c>
      <c r="C720" s="3237" t="s">
        <v>4461</v>
      </c>
      <c r="D720" s="3237" t="s">
        <v>4462</v>
      </c>
      <c r="E720" s="3237" t="s">
        <v>4476</v>
      </c>
      <c r="F720" s="3237" t="s">
        <v>3662</v>
      </c>
      <c r="G720" s="3237" t="s">
        <v>3221</v>
      </c>
      <c r="H720" s="3236" t="s">
        <v>4464</v>
      </c>
      <c r="I720" s="3236">
        <v>29.09</v>
      </c>
    </row>
    <row r="721" spans="1:9" ht="11.25" hidden="1" customHeight="1" x14ac:dyDescent="0.2">
      <c r="A721" s="3237" t="s">
        <v>4475</v>
      </c>
      <c r="B721" s="3237" t="s">
        <v>3945</v>
      </c>
      <c r="C721" s="3237" t="s">
        <v>4461</v>
      </c>
      <c r="D721" s="3237" t="s">
        <v>4462</v>
      </c>
      <c r="E721" s="3237" t="s">
        <v>4476</v>
      </c>
      <c r="F721" s="3237" t="s">
        <v>3662</v>
      </c>
      <c r="G721" s="3237" t="s">
        <v>3221</v>
      </c>
      <c r="H721" s="3236" t="s">
        <v>4464</v>
      </c>
      <c r="I721" s="3236">
        <v>29.09</v>
      </c>
    </row>
    <row r="722" spans="1:9" ht="11.25" hidden="1" customHeight="1" x14ac:dyDescent="0.2">
      <c r="A722" s="3237" t="s">
        <v>4475</v>
      </c>
      <c r="B722" s="3237" t="s">
        <v>3946</v>
      </c>
      <c r="C722" s="3237" t="s">
        <v>4461</v>
      </c>
      <c r="D722" s="3237" t="s">
        <v>4462</v>
      </c>
      <c r="E722" s="3237" t="s">
        <v>4476</v>
      </c>
      <c r="F722" s="3237" t="s">
        <v>3662</v>
      </c>
      <c r="G722" s="3237" t="s">
        <v>3221</v>
      </c>
      <c r="H722" s="3236" t="s">
        <v>4464</v>
      </c>
      <c r="I722" s="3236">
        <v>29.09</v>
      </c>
    </row>
    <row r="723" spans="1:9" ht="11.25" hidden="1" customHeight="1" x14ac:dyDescent="0.2">
      <c r="A723" s="3237" t="s">
        <v>4475</v>
      </c>
      <c r="B723" s="3237" t="s">
        <v>3947</v>
      </c>
      <c r="C723" s="3237" t="s">
        <v>4461</v>
      </c>
      <c r="D723" s="3237" t="s">
        <v>4462</v>
      </c>
      <c r="E723" s="3237" t="s">
        <v>4476</v>
      </c>
      <c r="F723" s="3237" t="s">
        <v>3662</v>
      </c>
      <c r="G723" s="3237" t="s">
        <v>3221</v>
      </c>
      <c r="H723" s="3236" t="s">
        <v>4464</v>
      </c>
      <c r="I723" s="3236">
        <v>29.09</v>
      </c>
    </row>
    <row r="724" spans="1:9" ht="11.25" hidden="1" customHeight="1" x14ac:dyDescent="0.2">
      <c r="A724" s="3237" t="s">
        <v>4475</v>
      </c>
      <c r="B724" s="3237" t="s">
        <v>3948</v>
      </c>
      <c r="C724" s="3237" t="s">
        <v>4461</v>
      </c>
      <c r="D724" s="3237" t="s">
        <v>4462</v>
      </c>
      <c r="E724" s="3237" t="s">
        <v>4476</v>
      </c>
      <c r="F724" s="3237" t="s">
        <v>3662</v>
      </c>
      <c r="G724" s="3237" t="s">
        <v>3221</v>
      </c>
      <c r="H724" s="3236" t="s">
        <v>4464</v>
      </c>
      <c r="I724" s="3236">
        <v>29.09</v>
      </c>
    </row>
    <row r="725" spans="1:9" ht="11.25" hidden="1" customHeight="1" x14ac:dyDescent="0.2">
      <c r="A725" s="3237" t="s">
        <v>4475</v>
      </c>
      <c r="B725" s="3237" t="s">
        <v>3949</v>
      </c>
      <c r="C725" s="3237" t="s">
        <v>4461</v>
      </c>
      <c r="D725" s="3237" t="s">
        <v>4462</v>
      </c>
      <c r="E725" s="3237" t="s">
        <v>4476</v>
      </c>
      <c r="F725" s="3237" t="s">
        <v>3662</v>
      </c>
      <c r="G725" s="3237" t="s">
        <v>3221</v>
      </c>
      <c r="H725" s="3236" t="s">
        <v>4464</v>
      </c>
      <c r="I725" s="3236">
        <v>29.09</v>
      </c>
    </row>
    <row r="726" spans="1:9" ht="11.25" hidden="1" customHeight="1" x14ac:dyDescent="0.2">
      <c r="A726" s="3237" t="s">
        <v>4475</v>
      </c>
      <c r="B726" s="3237" t="s">
        <v>3950</v>
      </c>
      <c r="C726" s="3237" t="s">
        <v>4461</v>
      </c>
      <c r="D726" s="3237" t="s">
        <v>4462</v>
      </c>
      <c r="E726" s="3237" t="s">
        <v>4476</v>
      </c>
      <c r="F726" s="3237" t="s">
        <v>3662</v>
      </c>
      <c r="G726" s="3237" t="s">
        <v>3221</v>
      </c>
      <c r="H726" s="3236" t="s">
        <v>4464</v>
      </c>
      <c r="I726" s="3236">
        <v>29.09</v>
      </c>
    </row>
    <row r="727" spans="1:9" ht="11.25" hidden="1" customHeight="1" x14ac:dyDescent="0.2">
      <c r="A727" s="3237" t="s">
        <v>4475</v>
      </c>
      <c r="B727" s="3237" t="s">
        <v>3951</v>
      </c>
      <c r="C727" s="3237" t="s">
        <v>4461</v>
      </c>
      <c r="D727" s="3237" t="s">
        <v>4462</v>
      </c>
      <c r="E727" s="3237" t="s">
        <v>4476</v>
      </c>
      <c r="F727" s="3237" t="s">
        <v>3662</v>
      </c>
      <c r="G727" s="3237" t="s">
        <v>3221</v>
      </c>
      <c r="H727" s="3236" t="s">
        <v>4464</v>
      </c>
      <c r="I727" s="3236">
        <v>29.09</v>
      </c>
    </row>
    <row r="728" spans="1:9" ht="11.25" hidden="1" customHeight="1" x14ac:dyDescent="0.2">
      <c r="A728" s="3237" t="s">
        <v>4475</v>
      </c>
      <c r="B728" s="3237" t="s">
        <v>3952</v>
      </c>
      <c r="C728" s="3237" t="s">
        <v>4461</v>
      </c>
      <c r="D728" s="3237" t="s">
        <v>4462</v>
      </c>
      <c r="E728" s="3237" t="s">
        <v>4476</v>
      </c>
      <c r="F728" s="3237" t="s">
        <v>3662</v>
      </c>
      <c r="G728" s="3237" t="s">
        <v>3221</v>
      </c>
      <c r="H728" s="3236" t="s">
        <v>4464</v>
      </c>
      <c r="I728" s="3236">
        <v>29.09</v>
      </c>
    </row>
    <row r="729" spans="1:9" ht="11.25" hidden="1" customHeight="1" x14ac:dyDescent="0.2">
      <c r="A729" s="3237" t="s">
        <v>4475</v>
      </c>
      <c r="B729" s="3237" t="s">
        <v>3953</v>
      </c>
      <c r="C729" s="3237" t="s">
        <v>4461</v>
      </c>
      <c r="D729" s="3237" t="s">
        <v>4462</v>
      </c>
      <c r="E729" s="3237" t="s">
        <v>4476</v>
      </c>
      <c r="F729" s="3237" t="s">
        <v>3662</v>
      </c>
      <c r="G729" s="3237" t="s">
        <v>3221</v>
      </c>
      <c r="H729" s="3236" t="s">
        <v>4464</v>
      </c>
      <c r="I729" s="3236">
        <v>29.09</v>
      </c>
    </row>
    <row r="730" spans="1:9" ht="11.25" hidden="1" customHeight="1" x14ac:dyDescent="0.2">
      <c r="A730" s="3237" t="s">
        <v>4475</v>
      </c>
      <c r="B730" s="3237" t="s">
        <v>3954</v>
      </c>
      <c r="C730" s="3237" t="s">
        <v>4461</v>
      </c>
      <c r="D730" s="3237" t="s">
        <v>4462</v>
      </c>
      <c r="E730" s="3237" t="s">
        <v>4476</v>
      </c>
      <c r="F730" s="3237" t="s">
        <v>3662</v>
      </c>
      <c r="G730" s="3237" t="s">
        <v>3221</v>
      </c>
      <c r="H730" s="3236" t="s">
        <v>4464</v>
      </c>
      <c r="I730" s="3236">
        <v>29.09</v>
      </c>
    </row>
    <row r="731" spans="1:9" ht="11.25" hidden="1" customHeight="1" x14ac:dyDescent="0.2">
      <c r="A731" s="3237" t="s">
        <v>4475</v>
      </c>
      <c r="B731" s="3237" t="s">
        <v>3955</v>
      </c>
      <c r="C731" s="3237" t="s">
        <v>4461</v>
      </c>
      <c r="D731" s="3237" t="s">
        <v>4462</v>
      </c>
      <c r="E731" s="3237" t="s">
        <v>4476</v>
      </c>
      <c r="F731" s="3237" t="s">
        <v>3662</v>
      </c>
      <c r="G731" s="3237" t="s">
        <v>3221</v>
      </c>
      <c r="H731" s="3236" t="s">
        <v>4464</v>
      </c>
      <c r="I731" s="3236">
        <v>29.09</v>
      </c>
    </row>
    <row r="732" spans="1:9" ht="11.25" hidden="1" customHeight="1" x14ac:dyDescent="0.2">
      <c r="A732" s="3237" t="s">
        <v>4475</v>
      </c>
      <c r="B732" s="3237" t="s">
        <v>3956</v>
      </c>
      <c r="C732" s="3237" t="s">
        <v>4461</v>
      </c>
      <c r="D732" s="3237" t="s">
        <v>4462</v>
      </c>
      <c r="E732" s="3237" t="s">
        <v>4476</v>
      </c>
      <c r="F732" s="3237" t="s">
        <v>3662</v>
      </c>
      <c r="G732" s="3237" t="s">
        <v>3221</v>
      </c>
      <c r="H732" s="3236" t="s">
        <v>4464</v>
      </c>
      <c r="I732" s="3236">
        <v>29.09</v>
      </c>
    </row>
    <row r="733" spans="1:9" ht="11.25" hidden="1" customHeight="1" x14ac:dyDescent="0.2">
      <c r="A733" s="3237" t="s">
        <v>4475</v>
      </c>
      <c r="B733" s="3237" t="s">
        <v>3957</v>
      </c>
      <c r="C733" s="3237" t="s">
        <v>4461</v>
      </c>
      <c r="D733" s="3237" t="s">
        <v>4462</v>
      </c>
      <c r="E733" s="3237" t="s">
        <v>4476</v>
      </c>
      <c r="F733" s="3237" t="s">
        <v>3662</v>
      </c>
      <c r="G733" s="3237" t="s">
        <v>3221</v>
      </c>
      <c r="H733" s="3236" t="s">
        <v>4464</v>
      </c>
      <c r="I733" s="3236">
        <v>29.09</v>
      </c>
    </row>
    <row r="734" spans="1:9" ht="11.25" hidden="1" customHeight="1" x14ac:dyDescent="0.2">
      <c r="A734" s="3237" t="s">
        <v>4475</v>
      </c>
      <c r="B734" s="3237" t="s">
        <v>3958</v>
      </c>
      <c r="C734" s="3237" t="s">
        <v>4461</v>
      </c>
      <c r="D734" s="3237" t="s">
        <v>4462</v>
      </c>
      <c r="E734" s="3237" t="s">
        <v>4476</v>
      </c>
      <c r="F734" s="3237" t="s">
        <v>3662</v>
      </c>
      <c r="G734" s="3237" t="s">
        <v>3221</v>
      </c>
      <c r="H734" s="3236" t="s">
        <v>4464</v>
      </c>
      <c r="I734" s="3236">
        <v>29.09</v>
      </c>
    </row>
    <row r="735" spans="1:9" ht="11.25" hidden="1" customHeight="1" x14ac:dyDescent="0.2">
      <c r="A735" s="3237" t="s">
        <v>4475</v>
      </c>
      <c r="B735" s="3237" t="s">
        <v>3959</v>
      </c>
      <c r="C735" s="3237" t="s">
        <v>4461</v>
      </c>
      <c r="D735" s="3237" t="s">
        <v>4462</v>
      </c>
      <c r="E735" s="3237" t="s">
        <v>4476</v>
      </c>
      <c r="F735" s="3237" t="s">
        <v>3662</v>
      </c>
      <c r="G735" s="3237" t="s">
        <v>3221</v>
      </c>
      <c r="H735" s="3236" t="s">
        <v>4464</v>
      </c>
      <c r="I735" s="3236">
        <v>29.09</v>
      </c>
    </row>
    <row r="736" spans="1:9" ht="11.25" hidden="1" customHeight="1" x14ac:dyDescent="0.2">
      <c r="A736" s="3237" t="s">
        <v>4475</v>
      </c>
      <c r="B736" s="3237" t="s">
        <v>3960</v>
      </c>
      <c r="C736" s="3237" t="s">
        <v>4461</v>
      </c>
      <c r="D736" s="3237" t="s">
        <v>4462</v>
      </c>
      <c r="E736" s="3237" t="s">
        <v>4476</v>
      </c>
      <c r="F736" s="3237" t="s">
        <v>3662</v>
      </c>
      <c r="G736" s="3237" t="s">
        <v>3221</v>
      </c>
      <c r="H736" s="3236" t="s">
        <v>4464</v>
      </c>
      <c r="I736" s="3236">
        <v>29.09</v>
      </c>
    </row>
    <row r="737" spans="1:9" ht="11.25" hidden="1" customHeight="1" x14ac:dyDescent="0.2">
      <c r="A737" s="3237" t="s">
        <v>4475</v>
      </c>
      <c r="B737" s="3237" t="s">
        <v>3961</v>
      </c>
      <c r="C737" s="3237" t="s">
        <v>4461</v>
      </c>
      <c r="D737" s="3237" t="s">
        <v>4462</v>
      </c>
      <c r="E737" s="3237" t="s">
        <v>4476</v>
      </c>
      <c r="F737" s="3237" t="s">
        <v>3662</v>
      </c>
      <c r="G737" s="3237" t="s">
        <v>3221</v>
      </c>
      <c r="H737" s="3236" t="s">
        <v>4464</v>
      </c>
      <c r="I737" s="3236">
        <v>29.09</v>
      </c>
    </row>
    <row r="738" spans="1:9" ht="11.25" hidden="1" customHeight="1" x14ac:dyDescent="0.2">
      <c r="A738" s="3237" t="s">
        <v>4475</v>
      </c>
      <c r="B738" s="3237" t="s">
        <v>3962</v>
      </c>
      <c r="C738" s="3237" t="s">
        <v>4461</v>
      </c>
      <c r="D738" s="3237" t="s">
        <v>4462</v>
      </c>
      <c r="E738" s="3237" t="s">
        <v>4476</v>
      </c>
      <c r="F738" s="3237" t="s">
        <v>3662</v>
      </c>
      <c r="G738" s="3237" t="s">
        <v>3221</v>
      </c>
      <c r="H738" s="3236" t="s">
        <v>4464</v>
      </c>
      <c r="I738" s="3236">
        <v>29.09</v>
      </c>
    </row>
    <row r="739" spans="1:9" ht="11.25" hidden="1" customHeight="1" x14ac:dyDescent="0.2">
      <c r="A739" s="3237" t="s">
        <v>4475</v>
      </c>
      <c r="B739" s="3237" t="s">
        <v>3963</v>
      </c>
      <c r="C739" s="3237" t="s">
        <v>4461</v>
      </c>
      <c r="D739" s="3237" t="s">
        <v>4462</v>
      </c>
      <c r="E739" s="3237" t="s">
        <v>4476</v>
      </c>
      <c r="F739" s="3237" t="s">
        <v>3662</v>
      </c>
      <c r="G739" s="3237" t="s">
        <v>3221</v>
      </c>
      <c r="H739" s="3236" t="s">
        <v>4464</v>
      </c>
      <c r="I739" s="3236">
        <v>29.09</v>
      </c>
    </row>
    <row r="740" spans="1:9" ht="11.25" hidden="1" customHeight="1" x14ac:dyDescent="0.2">
      <c r="A740" s="3237" t="s">
        <v>4475</v>
      </c>
      <c r="B740" s="3237" t="s">
        <v>3964</v>
      </c>
      <c r="C740" s="3237" t="s">
        <v>4461</v>
      </c>
      <c r="D740" s="3237" t="s">
        <v>4462</v>
      </c>
      <c r="E740" s="3237" t="s">
        <v>4476</v>
      </c>
      <c r="F740" s="3237" t="s">
        <v>3662</v>
      </c>
      <c r="G740" s="3237" t="s">
        <v>3221</v>
      </c>
      <c r="H740" s="3236" t="s">
        <v>4464</v>
      </c>
      <c r="I740" s="3236">
        <v>29.09</v>
      </c>
    </row>
    <row r="741" spans="1:9" ht="11.25" hidden="1" customHeight="1" x14ac:dyDescent="0.2">
      <c r="A741" s="3237" t="s">
        <v>4475</v>
      </c>
      <c r="B741" s="3237" t="s">
        <v>3965</v>
      </c>
      <c r="C741" s="3237" t="s">
        <v>4461</v>
      </c>
      <c r="D741" s="3237" t="s">
        <v>4462</v>
      </c>
      <c r="E741" s="3237" t="s">
        <v>4476</v>
      </c>
      <c r="F741" s="3237" t="s">
        <v>3662</v>
      </c>
      <c r="G741" s="3237" t="s">
        <v>3221</v>
      </c>
      <c r="H741" s="3236" t="s">
        <v>4464</v>
      </c>
      <c r="I741" s="3236">
        <v>29.09</v>
      </c>
    </row>
    <row r="742" spans="1:9" ht="11.25" hidden="1" customHeight="1" x14ac:dyDescent="0.2">
      <c r="A742" s="3237" t="s">
        <v>4475</v>
      </c>
      <c r="B742" s="3237" t="s">
        <v>3966</v>
      </c>
      <c r="C742" s="3237" t="s">
        <v>4461</v>
      </c>
      <c r="D742" s="3237" t="s">
        <v>4462</v>
      </c>
      <c r="E742" s="3237" t="s">
        <v>4476</v>
      </c>
      <c r="F742" s="3237" t="s">
        <v>3662</v>
      </c>
      <c r="G742" s="3237" t="s">
        <v>3221</v>
      </c>
      <c r="H742" s="3236" t="s">
        <v>4464</v>
      </c>
      <c r="I742" s="3236">
        <v>29.09</v>
      </c>
    </row>
    <row r="743" spans="1:9" ht="11.25" hidden="1" customHeight="1" x14ac:dyDescent="0.2">
      <c r="A743" s="3237" t="s">
        <v>4475</v>
      </c>
      <c r="B743" s="3237" t="s">
        <v>3967</v>
      </c>
      <c r="C743" s="3237" t="s">
        <v>4461</v>
      </c>
      <c r="D743" s="3237" t="s">
        <v>4462</v>
      </c>
      <c r="E743" s="3237" t="s">
        <v>4476</v>
      </c>
      <c r="F743" s="3237" t="s">
        <v>3662</v>
      </c>
      <c r="G743" s="3237" t="s">
        <v>3221</v>
      </c>
      <c r="H743" s="3236" t="s">
        <v>4464</v>
      </c>
      <c r="I743" s="3236">
        <v>29.09</v>
      </c>
    </row>
    <row r="744" spans="1:9" ht="11.25" hidden="1" customHeight="1" x14ac:dyDescent="0.2">
      <c r="A744" s="3237" t="s">
        <v>4475</v>
      </c>
      <c r="B744" s="3237" t="s">
        <v>3968</v>
      </c>
      <c r="C744" s="3237" t="s">
        <v>4461</v>
      </c>
      <c r="D744" s="3237" t="s">
        <v>4462</v>
      </c>
      <c r="E744" s="3237" t="s">
        <v>4476</v>
      </c>
      <c r="F744" s="3237" t="s">
        <v>3662</v>
      </c>
      <c r="G744" s="3237" t="s">
        <v>3221</v>
      </c>
      <c r="H744" s="3236" t="s">
        <v>4464</v>
      </c>
      <c r="I744" s="3236">
        <v>29.09</v>
      </c>
    </row>
    <row r="745" spans="1:9" ht="11.25" hidden="1" customHeight="1" x14ac:dyDescent="0.2">
      <c r="A745" s="3237" t="s">
        <v>4475</v>
      </c>
      <c r="B745" s="3237" t="s">
        <v>3969</v>
      </c>
      <c r="C745" s="3237" t="s">
        <v>4461</v>
      </c>
      <c r="D745" s="3237" t="s">
        <v>4462</v>
      </c>
      <c r="E745" s="3237" t="s">
        <v>4476</v>
      </c>
      <c r="F745" s="3237" t="s">
        <v>3662</v>
      </c>
      <c r="G745" s="3237" t="s">
        <v>3221</v>
      </c>
      <c r="H745" s="3236" t="s">
        <v>4464</v>
      </c>
      <c r="I745" s="3236">
        <v>29.09</v>
      </c>
    </row>
    <row r="746" spans="1:9" ht="11.25" hidden="1" customHeight="1" x14ac:dyDescent="0.2">
      <c r="A746" s="3237" t="s">
        <v>4475</v>
      </c>
      <c r="B746" s="3237" t="s">
        <v>3970</v>
      </c>
      <c r="C746" s="3237" t="s">
        <v>4461</v>
      </c>
      <c r="D746" s="3237" t="s">
        <v>4462</v>
      </c>
      <c r="E746" s="3237" t="s">
        <v>4476</v>
      </c>
      <c r="F746" s="3237" t="s">
        <v>3662</v>
      </c>
      <c r="G746" s="3237" t="s">
        <v>3221</v>
      </c>
      <c r="H746" s="3236" t="s">
        <v>4464</v>
      </c>
      <c r="I746" s="3236">
        <v>29.09</v>
      </c>
    </row>
    <row r="747" spans="1:9" ht="11.25" hidden="1" customHeight="1" x14ac:dyDescent="0.2">
      <c r="A747" s="3237" t="s">
        <v>4475</v>
      </c>
      <c r="B747" s="3237" t="s">
        <v>3971</v>
      </c>
      <c r="C747" s="3237" t="s">
        <v>4461</v>
      </c>
      <c r="D747" s="3237" t="s">
        <v>4462</v>
      </c>
      <c r="E747" s="3237" t="s">
        <v>4476</v>
      </c>
      <c r="F747" s="3237" t="s">
        <v>3662</v>
      </c>
      <c r="G747" s="3237" t="s">
        <v>3221</v>
      </c>
      <c r="H747" s="3236" t="s">
        <v>4464</v>
      </c>
      <c r="I747" s="3236">
        <v>29.09</v>
      </c>
    </row>
    <row r="748" spans="1:9" ht="11.25" hidden="1" customHeight="1" x14ac:dyDescent="0.2">
      <c r="A748" s="3237" t="s">
        <v>4475</v>
      </c>
      <c r="B748" s="3237" t="s">
        <v>3972</v>
      </c>
      <c r="C748" s="3237" t="s">
        <v>4461</v>
      </c>
      <c r="D748" s="3237" t="s">
        <v>4462</v>
      </c>
      <c r="E748" s="3237" t="s">
        <v>4476</v>
      </c>
      <c r="F748" s="3237" t="s">
        <v>3662</v>
      </c>
      <c r="G748" s="3237" t="s">
        <v>3221</v>
      </c>
      <c r="H748" s="3236" t="s">
        <v>4464</v>
      </c>
      <c r="I748" s="3236">
        <v>29.09</v>
      </c>
    </row>
    <row r="749" spans="1:9" ht="11.25" hidden="1" customHeight="1" x14ac:dyDescent="0.2">
      <c r="A749" s="3237" t="s">
        <v>4475</v>
      </c>
      <c r="B749" s="3237" t="s">
        <v>3973</v>
      </c>
      <c r="C749" s="3237" t="s">
        <v>4461</v>
      </c>
      <c r="D749" s="3237" t="s">
        <v>4462</v>
      </c>
      <c r="E749" s="3237" t="s">
        <v>4476</v>
      </c>
      <c r="F749" s="3237" t="s">
        <v>3662</v>
      </c>
      <c r="G749" s="3237" t="s">
        <v>3221</v>
      </c>
      <c r="H749" s="3236" t="s">
        <v>4464</v>
      </c>
      <c r="I749" s="3236">
        <v>29.09</v>
      </c>
    </row>
    <row r="750" spans="1:9" ht="11.25" hidden="1" customHeight="1" x14ac:dyDescent="0.2">
      <c r="A750" s="3237" t="s">
        <v>4475</v>
      </c>
      <c r="B750" s="3237" t="s">
        <v>3974</v>
      </c>
      <c r="C750" s="3237" t="s">
        <v>4461</v>
      </c>
      <c r="D750" s="3237" t="s">
        <v>4462</v>
      </c>
      <c r="E750" s="3237" t="s">
        <v>4476</v>
      </c>
      <c r="F750" s="3237" t="s">
        <v>3662</v>
      </c>
      <c r="G750" s="3237" t="s">
        <v>3221</v>
      </c>
      <c r="H750" s="3236" t="s">
        <v>4464</v>
      </c>
      <c r="I750" s="3236">
        <v>37.869999999999997</v>
      </c>
    </row>
    <row r="751" spans="1:9" ht="11.25" hidden="1" customHeight="1" x14ac:dyDescent="0.2">
      <c r="A751" s="3237" t="s">
        <v>4475</v>
      </c>
      <c r="B751" s="3237" t="s">
        <v>3975</v>
      </c>
      <c r="C751" s="3237" t="s">
        <v>4461</v>
      </c>
      <c r="D751" s="3237" t="s">
        <v>4462</v>
      </c>
      <c r="E751" s="3237" t="s">
        <v>4476</v>
      </c>
      <c r="F751" s="3237" t="s">
        <v>3662</v>
      </c>
      <c r="G751" s="3237" t="s">
        <v>3221</v>
      </c>
      <c r="H751" s="3236" t="s">
        <v>4464</v>
      </c>
      <c r="I751" s="3236">
        <v>29.09</v>
      </c>
    </row>
    <row r="752" spans="1:9" ht="11.25" hidden="1" customHeight="1" x14ac:dyDescent="0.2">
      <c r="A752" s="3237" t="s">
        <v>4475</v>
      </c>
      <c r="B752" s="3237" t="s">
        <v>3976</v>
      </c>
      <c r="C752" s="3237" t="s">
        <v>4461</v>
      </c>
      <c r="D752" s="3237" t="s">
        <v>4462</v>
      </c>
      <c r="E752" s="3237" t="s">
        <v>4476</v>
      </c>
      <c r="F752" s="3237" t="s">
        <v>3662</v>
      </c>
      <c r="G752" s="3237" t="s">
        <v>3221</v>
      </c>
      <c r="H752" s="3236" t="s">
        <v>4464</v>
      </c>
      <c r="I752" s="3236">
        <v>29.09</v>
      </c>
    </row>
    <row r="753" spans="1:9" ht="11.25" hidden="1" customHeight="1" x14ac:dyDescent="0.2">
      <c r="A753" s="3237" t="s">
        <v>4475</v>
      </c>
      <c r="B753" s="3237" t="s">
        <v>3977</v>
      </c>
      <c r="C753" s="3237" t="s">
        <v>4461</v>
      </c>
      <c r="D753" s="3237" t="s">
        <v>4462</v>
      </c>
      <c r="E753" s="3237" t="s">
        <v>4476</v>
      </c>
      <c r="F753" s="3237" t="s">
        <v>3662</v>
      </c>
      <c r="G753" s="3237" t="s">
        <v>3221</v>
      </c>
      <c r="H753" s="3236" t="s">
        <v>4464</v>
      </c>
      <c r="I753" s="3236">
        <v>29.09</v>
      </c>
    </row>
    <row r="754" spans="1:9" ht="11.25" hidden="1" customHeight="1" x14ac:dyDescent="0.2">
      <c r="A754" s="3237" t="s">
        <v>4475</v>
      </c>
      <c r="B754" s="3237" t="s">
        <v>3978</v>
      </c>
      <c r="C754" s="3237" t="s">
        <v>4461</v>
      </c>
      <c r="D754" s="3237" t="s">
        <v>4462</v>
      </c>
      <c r="E754" s="3237" t="s">
        <v>4476</v>
      </c>
      <c r="F754" s="3237" t="s">
        <v>3662</v>
      </c>
      <c r="G754" s="3237" t="s">
        <v>3221</v>
      </c>
      <c r="H754" s="3236" t="s">
        <v>4464</v>
      </c>
      <c r="I754" s="3236">
        <v>29.09</v>
      </c>
    </row>
    <row r="755" spans="1:9" ht="11.25" hidden="1" customHeight="1" x14ac:dyDescent="0.2">
      <c r="A755" s="3237" t="s">
        <v>4475</v>
      </c>
      <c r="B755" s="3237" t="s">
        <v>3979</v>
      </c>
      <c r="C755" s="3237" t="s">
        <v>4461</v>
      </c>
      <c r="D755" s="3237" t="s">
        <v>4462</v>
      </c>
      <c r="E755" s="3237" t="s">
        <v>4476</v>
      </c>
      <c r="F755" s="3237" t="s">
        <v>3662</v>
      </c>
      <c r="G755" s="3237" t="s">
        <v>3221</v>
      </c>
      <c r="H755" s="3236" t="s">
        <v>4464</v>
      </c>
      <c r="I755" s="3236">
        <v>29.09</v>
      </c>
    </row>
    <row r="756" spans="1:9" ht="11.25" hidden="1" customHeight="1" x14ac:dyDescent="0.2">
      <c r="A756" s="3237" t="s">
        <v>4475</v>
      </c>
      <c r="B756" s="3237" t="s">
        <v>3980</v>
      </c>
      <c r="C756" s="3237" t="s">
        <v>4461</v>
      </c>
      <c r="D756" s="3237" t="s">
        <v>4462</v>
      </c>
      <c r="E756" s="3237" t="s">
        <v>4476</v>
      </c>
      <c r="F756" s="3237" t="s">
        <v>3662</v>
      </c>
      <c r="G756" s="3237" t="s">
        <v>3221</v>
      </c>
      <c r="H756" s="3236" t="s">
        <v>4464</v>
      </c>
      <c r="I756" s="3236">
        <v>29.09</v>
      </c>
    </row>
    <row r="757" spans="1:9" ht="11.25" hidden="1" customHeight="1" x14ac:dyDescent="0.2">
      <c r="A757" s="3237" t="s">
        <v>4475</v>
      </c>
      <c r="B757" s="3237" t="s">
        <v>3981</v>
      </c>
      <c r="C757" s="3237" t="s">
        <v>4461</v>
      </c>
      <c r="D757" s="3237" t="s">
        <v>4462</v>
      </c>
      <c r="E757" s="3237" t="s">
        <v>4476</v>
      </c>
      <c r="F757" s="3237" t="s">
        <v>3662</v>
      </c>
      <c r="G757" s="3237" t="s">
        <v>3221</v>
      </c>
      <c r="H757" s="3236" t="s">
        <v>4464</v>
      </c>
      <c r="I757" s="3236">
        <v>29.09</v>
      </c>
    </row>
    <row r="758" spans="1:9" ht="11.25" hidden="1" customHeight="1" x14ac:dyDescent="0.2">
      <c r="A758" s="3237" t="s">
        <v>4475</v>
      </c>
      <c r="B758" s="3237" t="s">
        <v>3982</v>
      </c>
      <c r="C758" s="3237" t="s">
        <v>4461</v>
      </c>
      <c r="D758" s="3237" t="s">
        <v>4462</v>
      </c>
      <c r="E758" s="3237" t="s">
        <v>4476</v>
      </c>
      <c r="F758" s="3237" t="s">
        <v>3662</v>
      </c>
      <c r="G758" s="3237" t="s">
        <v>3221</v>
      </c>
      <c r="H758" s="3236" t="s">
        <v>4464</v>
      </c>
      <c r="I758" s="3236">
        <v>29.09</v>
      </c>
    </row>
    <row r="759" spans="1:9" ht="11.25" hidden="1" customHeight="1" x14ac:dyDescent="0.2">
      <c r="A759" s="3237" t="s">
        <v>4475</v>
      </c>
      <c r="B759" s="3237" t="s">
        <v>3983</v>
      </c>
      <c r="C759" s="3237" t="s">
        <v>4461</v>
      </c>
      <c r="D759" s="3237" t="s">
        <v>4462</v>
      </c>
      <c r="E759" s="3237" t="s">
        <v>4476</v>
      </c>
      <c r="F759" s="3237" t="s">
        <v>3662</v>
      </c>
      <c r="G759" s="3237" t="s">
        <v>3221</v>
      </c>
      <c r="H759" s="3236" t="s">
        <v>4464</v>
      </c>
      <c r="I759" s="3236">
        <v>29.09</v>
      </c>
    </row>
    <row r="760" spans="1:9" ht="11.25" hidden="1" customHeight="1" x14ac:dyDescent="0.2">
      <c r="A760" s="3237" t="s">
        <v>4475</v>
      </c>
      <c r="B760" s="3237" t="s">
        <v>3984</v>
      </c>
      <c r="C760" s="3237" t="s">
        <v>4461</v>
      </c>
      <c r="D760" s="3237" t="s">
        <v>4462</v>
      </c>
      <c r="E760" s="3237" t="s">
        <v>4476</v>
      </c>
      <c r="F760" s="3237" t="s">
        <v>3662</v>
      </c>
      <c r="G760" s="3237" t="s">
        <v>3221</v>
      </c>
      <c r="H760" s="3236" t="s">
        <v>4464</v>
      </c>
      <c r="I760" s="3236">
        <v>29.09</v>
      </c>
    </row>
    <row r="761" spans="1:9" ht="11.25" hidden="1" customHeight="1" x14ac:dyDescent="0.2">
      <c r="A761" s="3237" t="s">
        <v>4475</v>
      </c>
      <c r="B761" s="3237" t="s">
        <v>3985</v>
      </c>
      <c r="C761" s="3237" t="s">
        <v>4461</v>
      </c>
      <c r="D761" s="3237" t="s">
        <v>4462</v>
      </c>
      <c r="E761" s="3237" t="s">
        <v>4476</v>
      </c>
      <c r="F761" s="3237" t="s">
        <v>3662</v>
      </c>
      <c r="G761" s="3237" t="s">
        <v>3221</v>
      </c>
      <c r="H761" s="3236" t="s">
        <v>4464</v>
      </c>
      <c r="I761" s="3236">
        <v>29.09</v>
      </c>
    </row>
    <row r="762" spans="1:9" ht="11.25" hidden="1" customHeight="1" x14ac:dyDescent="0.2">
      <c r="A762" s="3237" t="s">
        <v>4475</v>
      </c>
      <c r="B762" s="3237" t="s">
        <v>3986</v>
      </c>
      <c r="C762" s="3237" t="s">
        <v>4461</v>
      </c>
      <c r="D762" s="3237" t="s">
        <v>4462</v>
      </c>
      <c r="E762" s="3237" t="s">
        <v>4476</v>
      </c>
      <c r="F762" s="3237" t="s">
        <v>3662</v>
      </c>
      <c r="G762" s="3237" t="s">
        <v>3221</v>
      </c>
      <c r="H762" s="3236" t="s">
        <v>4464</v>
      </c>
      <c r="I762" s="3236">
        <v>29.09</v>
      </c>
    </row>
    <row r="763" spans="1:9" ht="11.25" hidden="1" customHeight="1" x14ac:dyDescent="0.2">
      <c r="A763" s="3237" t="s">
        <v>4475</v>
      </c>
      <c r="B763" s="3237" t="s">
        <v>3987</v>
      </c>
      <c r="C763" s="3237" t="s">
        <v>4461</v>
      </c>
      <c r="D763" s="3237" t="s">
        <v>4462</v>
      </c>
      <c r="E763" s="3237" t="s">
        <v>4476</v>
      </c>
      <c r="F763" s="3237" t="s">
        <v>3662</v>
      </c>
      <c r="G763" s="3237" t="s">
        <v>3221</v>
      </c>
      <c r="H763" s="3236" t="s">
        <v>4464</v>
      </c>
      <c r="I763" s="3236">
        <v>29.09</v>
      </c>
    </row>
    <row r="764" spans="1:9" ht="11.25" hidden="1" customHeight="1" x14ac:dyDescent="0.2">
      <c r="A764" s="3237" t="s">
        <v>4475</v>
      </c>
      <c r="B764" s="3237" t="s">
        <v>3988</v>
      </c>
      <c r="C764" s="3237" t="s">
        <v>4461</v>
      </c>
      <c r="D764" s="3237" t="s">
        <v>4462</v>
      </c>
      <c r="E764" s="3237" t="s">
        <v>4476</v>
      </c>
      <c r="F764" s="3237" t="s">
        <v>3662</v>
      </c>
      <c r="G764" s="3237" t="s">
        <v>3221</v>
      </c>
      <c r="H764" s="3236" t="s">
        <v>4464</v>
      </c>
      <c r="I764" s="3236">
        <v>29.09</v>
      </c>
    </row>
    <row r="765" spans="1:9" ht="11.25" hidden="1" customHeight="1" x14ac:dyDescent="0.2">
      <c r="A765" s="3237" t="s">
        <v>4475</v>
      </c>
      <c r="B765" s="3237" t="s">
        <v>3989</v>
      </c>
      <c r="C765" s="3237" t="s">
        <v>4461</v>
      </c>
      <c r="D765" s="3237" t="s">
        <v>4462</v>
      </c>
      <c r="E765" s="3237" t="s">
        <v>4476</v>
      </c>
      <c r="F765" s="3237" t="s">
        <v>3662</v>
      </c>
      <c r="G765" s="3237" t="s">
        <v>3221</v>
      </c>
      <c r="H765" s="3236" t="s">
        <v>4464</v>
      </c>
      <c r="I765" s="3236">
        <v>29.09</v>
      </c>
    </row>
    <row r="766" spans="1:9" ht="11.25" hidden="1" customHeight="1" x14ac:dyDescent="0.2">
      <c r="A766" s="3237" t="s">
        <v>4475</v>
      </c>
      <c r="B766" s="3237" t="s">
        <v>3990</v>
      </c>
      <c r="C766" s="3237" t="s">
        <v>4461</v>
      </c>
      <c r="D766" s="3237" t="s">
        <v>4462</v>
      </c>
      <c r="E766" s="3237" t="s">
        <v>4476</v>
      </c>
      <c r="F766" s="3237" t="s">
        <v>3662</v>
      </c>
      <c r="G766" s="3237" t="s">
        <v>3221</v>
      </c>
      <c r="H766" s="3236" t="s">
        <v>4464</v>
      </c>
      <c r="I766" s="3236">
        <v>29.09</v>
      </c>
    </row>
    <row r="767" spans="1:9" ht="11.25" hidden="1" customHeight="1" x14ac:dyDescent="0.2">
      <c r="A767" s="3237" t="s">
        <v>4475</v>
      </c>
      <c r="B767" s="3237" t="s">
        <v>3991</v>
      </c>
      <c r="C767" s="3237" t="s">
        <v>4461</v>
      </c>
      <c r="D767" s="3237" t="s">
        <v>4462</v>
      </c>
      <c r="E767" s="3237" t="s">
        <v>4476</v>
      </c>
      <c r="F767" s="3237" t="s">
        <v>3662</v>
      </c>
      <c r="G767" s="3237" t="s">
        <v>3221</v>
      </c>
      <c r="H767" s="3236" t="s">
        <v>4464</v>
      </c>
      <c r="I767" s="3236">
        <v>29.09</v>
      </c>
    </row>
    <row r="768" spans="1:9" ht="11.25" hidden="1" customHeight="1" x14ac:dyDescent="0.2">
      <c r="A768" s="3237" t="s">
        <v>4475</v>
      </c>
      <c r="B768" s="3237" t="s">
        <v>3992</v>
      </c>
      <c r="C768" s="3237" t="s">
        <v>4461</v>
      </c>
      <c r="D768" s="3237" t="s">
        <v>4462</v>
      </c>
      <c r="E768" s="3237" t="s">
        <v>4476</v>
      </c>
      <c r="F768" s="3237" t="s">
        <v>3662</v>
      </c>
      <c r="G768" s="3237" t="s">
        <v>3221</v>
      </c>
      <c r="H768" s="3236" t="s">
        <v>4464</v>
      </c>
      <c r="I768" s="3236">
        <v>29.09</v>
      </c>
    </row>
    <row r="769" spans="1:9" ht="11.25" hidden="1" customHeight="1" x14ac:dyDescent="0.2">
      <c r="A769" s="3237" t="s">
        <v>4475</v>
      </c>
      <c r="B769" s="3237" t="s">
        <v>3993</v>
      </c>
      <c r="C769" s="3237" t="s">
        <v>4461</v>
      </c>
      <c r="D769" s="3237" t="s">
        <v>4462</v>
      </c>
      <c r="E769" s="3237" t="s">
        <v>4476</v>
      </c>
      <c r="F769" s="3237" t="s">
        <v>3662</v>
      </c>
      <c r="G769" s="3237" t="s">
        <v>3221</v>
      </c>
      <c r="H769" s="3236" t="s">
        <v>4464</v>
      </c>
      <c r="I769" s="3236">
        <v>29.09</v>
      </c>
    </row>
    <row r="770" spans="1:9" ht="11.25" hidden="1" customHeight="1" x14ac:dyDescent="0.2">
      <c r="A770" s="3237" t="s">
        <v>4475</v>
      </c>
      <c r="B770" s="3237" t="s">
        <v>3994</v>
      </c>
      <c r="C770" s="3237" t="s">
        <v>4461</v>
      </c>
      <c r="D770" s="3237" t="s">
        <v>4462</v>
      </c>
      <c r="E770" s="3237" t="s">
        <v>4476</v>
      </c>
      <c r="F770" s="3237" t="s">
        <v>3662</v>
      </c>
      <c r="G770" s="3237" t="s">
        <v>3221</v>
      </c>
      <c r="H770" s="3236" t="s">
        <v>4464</v>
      </c>
      <c r="I770" s="3236">
        <v>29.09</v>
      </c>
    </row>
    <row r="771" spans="1:9" ht="11.25" hidden="1" customHeight="1" x14ac:dyDescent="0.2">
      <c r="A771" s="3237" t="s">
        <v>4475</v>
      </c>
      <c r="B771" s="3237" t="s">
        <v>3995</v>
      </c>
      <c r="C771" s="3237" t="s">
        <v>4461</v>
      </c>
      <c r="D771" s="3237" t="s">
        <v>4462</v>
      </c>
      <c r="E771" s="3237" t="s">
        <v>4476</v>
      </c>
      <c r="F771" s="3237" t="s">
        <v>3662</v>
      </c>
      <c r="G771" s="3237" t="s">
        <v>3221</v>
      </c>
      <c r="H771" s="3236" t="s">
        <v>4464</v>
      </c>
      <c r="I771" s="3236">
        <v>29.09</v>
      </c>
    </row>
    <row r="772" spans="1:9" ht="11.25" hidden="1" customHeight="1" x14ac:dyDescent="0.2">
      <c r="A772" s="3237" t="s">
        <v>4475</v>
      </c>
      <c r="B772" s="3237" t="s">
        <v>3996</v>
      </c>
      <c r="C772" s="3237" t="s">
        <v>4461</v>
      </c>
      <c r="D772" s="3237" t="s">
        <v>4462</v>
      </c>
      <c r="E772" s="3237" t="s">
        <v>4476</v>
      </c>
      <c r="F772" s="3237" t="s">
        <v>3662</v>
      </c>
      <c r="G772" s="3237" t="s">
        <v>3221</v>
      </c>
      <c r="H772" s="3236" t="s">
        <v>4464</v>
      </c>
      <c r="I772" s="3236">
        <v>29.09</v>
      </c>
    </row>
    <row r="773" spans="1:9" ht="11.25" hidden="1" customHeight="1" x14ac:dyDescent="0.2">
      <c r="A773" s="3237" t="s">
        <v>4475</v>
      </c>
      <c r="B773" s="3237" t="s">
        <v>3997</v>
      </c>
      <c r="C773" s="3237" t="s">
        <v>4461</v>
      </c>
      <c r="D773" s="3237" t="s">
        <v>4462</v>
      </c>
      <c r="E773" s="3237" t="s">
        <v>4476</v>
      </c>
      <c r="F773" s="3237" t="s">
        <v>3662</v>
      </c>
      <c r="G773" s="3237" t="s">
        <v>3221</v>
      </c>
      <c r="H773" s="3236" t="s">
        <v>4464</v>
      </c>
      <c r="I773" s="3236">
        <v>29.09</v>
      </c>
    </row>
    <row r="774" spans="1:9" ht="11.25" hidden="1" customHeight="1" x14ac:dyDescent="0.2">
      <c r="A774" s="3237" t="s">
        <v>4475</v>
      </c>
      <c r="B774" s="3237" t="s">
        <v>3998</v>
      </c>
      <c r="C774" s="3237" t="s">
        <v>4461</v>
      </c>
      <c r="D774" s="3237" t="s">
        <v>4462</v>
      </c>
      <c r="E774" s="3237" t="s">
        <v>4476</v>
      </c>
      <c r="F774" s="3237" t="s">
        <v>3662</v>
      </c>
      <c r="G774" s="3237" t="s">
        <v>3221</v>
      </c>
      <c r="H774" s="3236" t="s">
        <v>4464</v>
      </c>
      <c r="I774" s="3236">
        <v>29.09</v>
      </c>
    </row>
    <row r="775" spans="1:9" ht="11.25" hidden="1" customHeight="1" x14ac:dyDescent="0.2">
      <c r="A775" s="3237" t="s">
        <v>4475</v>
      </c>
      <c r="B775" s="3237" t="s">
        <v>3999</v>
      </c>
      <c r="C775" s="3237" t="s">
        <v>4461</v>
      </c>
      <c r="D775" s="3237" t="s">
        <v>4462</v>
      </c>
      <c r="E775" s="3237" t="s">
        <v>4476</v>
      </c>
      <c r="F775" s="3237" t="s">
        <v>3662</v>
      </c>
      <c r="G775" s="3237" t="s">
        <v>3221</v>
      </c>
      <c r="H775" s="3236" t="s">
        <v>4464</v>
      </c>
      <c r="I775" s="3236">
        <v>29.09</v>
      </c>
    </row>
    <row r="776" spans="1:9" ht="11.25" hidden="1" customHeight="1" x14ac:dyDescent="0.2">
      <c r="A776" s="3237" t="s">
        <v>4475</v>
      </c>
      <c r="B776" s="3237" t="s">
        <v>4000</v>
      </c>
      <c r="C776" s="3237" t="s">
        <v>4461</v>
      </c>
      <c r="D776" s="3237" t="s">
        <v>4462</v>
      </c>
      <c r="E776" s="3237" t="s">
        <v>4476</v>
      </c>
      <c r="F776" s="3237" t="s">
        <v>3662</v>
      </c>
      <c r="G776" s="3237" t="s">
        <v>3221</v>
      </c>
      <c r="H776" s="3236" t="s">
        <v>4464</v>
      </c>
      <c r="I776" s="3236">
        <v>29.09</v>
      </c>
    </row>
    <row r="777" spans="1:9" ht="11.25" hidden="1" customHeight="1" x14ac:dyDescent="0.2">
      <c r="A777" s="3237" t="s">
        <v>4475</v>
      </c>
      <c r="B777" s="3237" t="s">
        <v>4001</v>
      </c>
      <c r="C777" s="3237" t="s">
        <v>4461</v>
      </c>
      <c r="D777" s="3237" t="s">
        <v>4462</v>
      </c>
      <c r="E777" s="3237" t="s">
        <v>4476</v>
      </c>
      <c r="F777" s="3237" t="s">
        <v>3662</v>
      </c>
      <c r="G777" s="3237" t="s">
        <v>3221</v>
      </c>
      <c r="H777" s="3236" t="s">
        <v>4464</v>
      </c>
      <c r="I777" s="3236">
        <v>29.09</v>
      </c>
    </row>
    <row r="778" spans="1:9" ht="11.25" hidden="1" customHeight="1" x14ac:dyDescent="0.2">
      <c r="A778" s="3237" t="s">
        <v>4475</v>
      </c>
      <c r="B778" s="3237" t="s">
        <v>4002</v>
      </c>
      <c r="C778" s="3237" t="s">
        <v>4461</v>
      </c>
      <c r="D778" s="3237" t="s">
        <v>4462</v>
      </c>
      <c r="E778" s="3237" t="s">
        <v>4476</v>
      </c>
      <c r="F778" s="3237" t="s">
        <v>3662</v>
      </c>
      <c r="G778" s="3237" t="s">
        <v>3221</v>
      </c>
      <c r="H778" s="3236" t="s">
        <v>4464</v>
      </c>
      <c r="I778" s="3236">
        <v>29.09</v>
      </c>
    </row>
    <row r="779" spans="1:9" ht="11.25" hidden="1" customHeight="1" x14ac:dyDescent="0.2">
      <c r="A779" s="3237" t="s">
        <v>4475</v>
      </c>
      <c r="B779" s="3237" t="s">
        <v>4003</v>
      </c>
      <c r="C779" s="3237" t="s">
        <v>4461</v>
      </c>
      <c r="D779" s="3237" t="s">
        <v>4462</v>
      </c>
      <c r="E779" s="3237" t="s">
        <v>4476</v>
      </c>
      <c r="F779" s="3237" t="s">
        <v>3662</v>
      </c>
      <c r="G779" s="3237" t="s">
        <v>3221</v>
      </c>
      <c r="H779" s="3236" t="s">
        <v>4464</v>
      </c>
      <c r="I779" s="3236">
        <v>29.09</v>
      </c>
    </row>
    <row r="780" spans="1:9" ht="11.25" hidden="1" customHeight="1" x14ac:dyDescent="0.2">
      <c r="A780" s="3237" t="s">
        <v>4475</v>
      </c>
      <c r="B780" s="3237" t="s">
        <v>4004</v>
      </c>
      <c r="C780" s="3237" t="s">
        <v>4461</v>
      </c>
      <c r="D780" s="3237" t="s">
        <v>4462</v>
      </c>
      <c r="E780" s="3237" t="s">
        <v>4476</v>
      </c>
      <c r="F780" s="3237" t="s">
        <v>3662</v>
      </c>
      <c r="G780" s="3237" t="s">
        <v>3221</v>
      </c>
      <c r="H780" s="3236" t="s">
        <v>4464</v>
      </c>
      <c r="I780" s="3236">
        <v>29.09</v>
      </c>
    </row>
    <row r="781" spans="1:9" ht="11.25" hidden="1" customHeight="1" x14ac:dyDescent="0.2">
      <c r="A781" s="3237" t="s">
        <v>4475</v>
      </c>
      <c r="B781" s="3237" t="s">
        <v>4005</v>
      </c>
      <c r="C781" s="3237" t="s">
        <v>4461</v>
      </c>
      <c r="D781" s="3237" t="s">
        <v>4462</v>
      </c>
      <c r="E781" s="3237" t="s">
        <v>4476</v>
      </c>
      <c r="F781" s="3237" t="s">
        <v>3662</v>
      </c>
      <c r="G781" s="3237" t="s">
        <v>3221</v>
      </c>
      <c r="H781" s="3236" t="s">
        <v>4464</v>
      </c>
      <c r="I781" s="3236">
        <v>29.09</v>
      </c>
    </row>
    <row r="782" spans="1:9" ht="11.25" hidden="1" customHeight="1" x14ac:dyDescent="0.2">
      <c r="A782" s="3237" t="s">
        <v>4475</v>
      </c>
      <c r="B782" s="3237" t="s">
        <v>4006</v>
      </c>
      <c r="C782" s="3237" t="s">
        <v>4461</v>
      </c>
      <c r="D782" s="3237" t="s">
        <v>4462</v>
      </c>
      <c r="E782" s="3237" t="s">
        <v>4476</v>
      </c>
      <c r="F782" s="3237" t="s">
        <v>3662</v>
      </c>
      <c r="G782" s="3237" t="s">
        <v>3221</v>
      </c>
      <c r="H782" s="3236" t="s">
        <v>4464</v>
      </c>
      <c r="I782" s="3236">
        <v>29.09</v>
      </c>
    </row>
    <row r="783" spans="1:9" ht="11.25" hidden="1" customHeight="1" x14ac:dyDescent="0.2">
      <c r="A783" s="3237" t="s">
        <v>4475</v>
      </c>
      <c r="B783" s="3237" t="s">
        <v>4007</v>
      </c>
      <c r="C783" s="3237" t="s">
        <v>4461</v>
      </c>
      <c r="D783" s="3237" t="s">
        <v>4462</v>
      </c>
      <c r="E783" s="3237" t="s">
        <v>4476</v>
      </c>
      <c r="F783" s="3237" t="s">
        <v>3662</v>
      </c>
      <c r="G783" s="3237" t="s">
        <v>3221</v>
      </c>
      <c r="H783" s="3236" t="s">
        <v>4464</v>
      </c>
      <c r="I783" s="3236">
        <v>29.09</v>
      </c>
    </row>
    <row r="784" spans="1:9" ht="11.25" hidden="1" customHeight="1" x14ac:dyDescent="0.2">
      <c r="A784" s="3237" t="s">
        <v>4475</v>
      </c>
      <c r="B784" s="3237" t="s">
        <v>4008</v>
      </c>
      <c r="C784" s="3237" t="s">
        <v>4461</v>
      </c>
      <c r="D784" s="3237" t="s">
        <v>4462</v>
      </c>
      <c r="E784" s="3237" t="s">
        <v>4476</v>
      </c>
      <c r="F784" s="3237" t="s">
        <v>3662</v>
      </c>
      <c r="G784" s="3237" t="s">
        <v>3221</v>
      </c>
      <c r="H784" s="3236" t="s">
        <v>4464</v>
      </c>
      <c r="I784" s="3236">
        <v>29.09</v>
      </c>
    </row>
    <row r="785" spans="1:9" ht="11.25" hidden="1" customHeight="1" x14ac:dyDescent="0.2">
      <c r="A785" s="3237" t="s">
        <v>4475</v>
      </c>
      <c r="B785" s="3237" t="s">
        <v>4009</v>
      </c>
      <c r="C785" s="3237" t="s">
        <v>4461</v>
      </c>
      <c r="D785" s="3237" t="s">
        <v>4462</v>
      </c>
      <c r="E785" s="3237" t="s">
        <v>4476</v>
      </c>
      <c r="F785" s="3237" t="s">
        <v>3662</v>
      </c>
      <c r="G785" s="3237" t="s">
        <v>3221</v>
      </c>
      <c r="H785" s="3236" t="s">
        <v>4464</v>
      </c>
      <c r="I785" s="3236">
        <v>29.09</v>
      </c>
    </row>
    <row r="786" spans="1:9" ht="11.25" hidden="1" customHeight="1" x14ac:dyDescent="0.2">
      <c r="A786" s="3237" t="s">
        <v>4475</v>
      </c>
      <c r="B786" s="3237" t="s">
        <v>4010</v>
      </c>
      <c r="C786" s="3237" t="s">
        <v>4461</v>
      </c>
      <c r="D786" s="3237" t="s">
        <v>4462</v>
      </c>
      <c r="E786" s="3237" t="s">
        <v>4476</v>
      </c>
      <c r="F786" s="3237" t="s">
        <v>3662</v>
      </c>
      <c r="G786" s="3237" t="s">
        <v>3221</v>
      </c>
      <c r="H786" s="3236" t="s">
        <v>4464</v>
      </c>
      <c r="I786" s="3236">
        <v>29.09</v>
      </c>
    </row>
    <row r="787" spans="1:9" ht="11.25" hidden="1" customHeight="1" x14ac:dyDescent="0.2">
      <c r="A787" s="3237" t="s">
        <v>4475</v>
      </c>
      <c r="B787" s="3237" t="s">
        <v>4011</v>
      </c>
      <c r="C787" s="3237" t="s">
        <v>4461</v>
      </c>
      <c r="D787" s="3237" t="s">
        <v>4462</v>
      </c>
      <c r="E787" s="3237" t="s">
        <v>4476</v>
      </c>
      <c r="F787" s="3237" t="s">
        <v>3662</v>
      </c>
      <c r="G787" s="3237" t="s">
        <v>3221</v>
      </c>
      <c r="H787" s="3236" t="s">
        <v>4464</v>
      </c>
      <c r="I787" s="3236">
        <v>29.09</v>
      </c>
    </row>
    <row r="788" spans="1:9" ht="11.25" hidden="1" customHeight="1" x14ac:dyDescent="0.2">
      <c r="A788" s="3237" t="s">
        <v>4475</v>
      </c>
      <c r="B788" s="3237" t="s">
        <v>4012</v>
      </c>
      <c r="C788" s="3237" t="s">
        <v>4461</v>
      </c>
      <c r="D788" s="3237" t="s">
        <v>4462</v>
      </c>
      <c r="E788" s="3237" t="s">
        <v>4476</v>
      </c>
      <c r="F788" s="3237" t="s">
        <v>3662</v>
      </c>
      <c r="G788" s="3237" t="s">
        <v>3221</v>
      </c>
      <c r="H788" s="3236" t="s">
        <v>4464</v>
      </c>
      <c r="I788" s="3236">
        <v>29.09</v>
      </c>
    </row>
    <row r="789" spans="1:9" ht="11.25" hidden="1" customHeight="1" x14ac:dyDescent="0.2">
      <c r="A789" s="3237" t="s">
        <v>4475</v>
      </c>
      <c r="B789" s="3237" t="s">
        <v>4013</v>
      </c>
      <c r="C789" s="3237" t="s">
        <v>4461</v>
      </c>
      <c r="D789" s="3237" t="s">
        <v>4462</v>
      </c>
      <c r="E789" s="3237" t="s">
        <v>4476</v>
      </c>
      <c r="F789" s="3237" t="s">
        <v>3662</v>
      </c>
      <c r="G789" s="3237" t="s">
        <v>3221</v>
      </c>
      <c r="H789" s="3236" t="s">
        <v>4464</v>
      </c>
      <c r="I789" s="3236">
        <v>29.09</v>
      </c>
    </row>
    <row r="790" spans="1:9" ht="11.25" hidden="1" customHeight="1" x14ac:dyDescent="0.2">
      <c r="A790" s="3237" t="s">
        <v>4475</v>
      </c>
      <c r="B790" s="3237" t="s">
        <v>4014</v>
      </c>
      <c r="C790" s="3237" t="s">
        <v>4461</v>
      </c>
      <c r="D790" s="3237" t="s">
        <v>4462</v>
      </c>
      <c r="E790" s="3237" t="s">
        <v>4476</v>
      </c>
      <c r="F790" s="3237" t="s">
        <v>3662</v>
      </c>
      <c r="G790" s="3237" t="s">
        <v>3221</v>
      </c>
      <c r="H790" s="3236" t="s">
        <v>4464</v>
      </c>
      <c r="I790" s="3236">
        <v>29.09</v>
      </c>
    </row>
    <row r="791" spans="1:9" ht="11.25" hidden="1" customHeight="1" x14ac:dyDescent="0.2">
      <c r="A791" s="3237" t="s">
        <v>4475</v>
      </c>
      <c r="B791" s="3237" t="s">
        <v>4015</v>
      </c>
      <c r="C791" s="3237" t="s">
        <v>4461</v>
      </c>
      <c r="D791" s="3237" t="s">
        <v>4462</v>
      </c>
      <c r="E791" s="3237" t="s">
        <v>4476</v>
      </c>
      <c r="F791" s="3237" t="s">
        <v>3662</v>
      </c>
      <c r="G791" s="3237" t="s">
        <v>3221</v>
      </c>
      <c r="H791" s="3236" t="s">
        <v>4464</v>
      </c>
      <c r="I791" s="3236">
        <v>29.09</v>
      </c>
    </row>
    <row r="792" spans="1:9" ht="11.25" hidden="1" customHeight="1" x14ac:dyDescent="0.2">
      <c r="A792" s="3237" t="s">
        <v>4475</v>
      </c>
      <c r="B792" s="3237" t="s">
        <v>4016</v>
      </c>
      <c r="C792" s="3237" t="s">
        <v>4461</v>
      </c>
      <c r="D792" s="3237" t="s">
        <v>4462</v>
      </c>
      <c r="E792" s="3237" t="s">
        <v>4476</v>
      </c>
      <c r="F792" s="3237" t="s">
        <v>3662</v>
      </c>
      <c r="G792" s="3237" t="s">
        <v>3221</v>
      </c>
      <c r="H792" s="3236" t="s">
        <v>4464</v>
      </c>
      <c r="I792" s="3236">
        <v>29.09</v>
      </c>
    </row>
    <row r="793" spans="1:9" ht="11.25" hidden="1" customHeight="1" x14ac:dyDescent="0.2">
      <c r="A793" s="3237" t="s">
        <v>4475</v>
      </c>
      <c r="B793" s="3237" t="s">
        <v>4017</v>
      </c>
      <c r="C793" s="3237" t="s">
        <v>4461</v>
      </c>
      <c r="D793" s="3237" t="s">
        <v>4462</v>
      </c>
      <c r="E793" s="3237" t="s">
        <v>4476</v>
      </c>
      <c r="F793" s="3237" t="s">
        <v>3662</v>
      </c>
      <c r="G793" s="3237" t="s">
        <v>3221</v>
      </c>
      <c r="H793" s="3236" t="s">
        <v>4464</v>
      </c>
      <c r="I793" s="3236">
        <v>29.09</v>
      </c>
    </row>
    <row r="794" spans="1:9" ht="11.25" hidden="1" customHeight="1" x14ac:dyDescent="0.2">
      <c r="A794" s="3237" t="s">
        <v>4475</v>
      </c>
      <c r="B794" s="3237" t="s">
        <v>4018</v>
      </c>
      <c r="C794" s="3237" t="s">
        <v>4461</v>
      </c>
      <c r="D794" s="3237" t="s">
        <v>4462</v>
      </c>
      <c r="E794" s="3237" t="s">
        <v>4476</v>
      </c>
      <c r="F794" s="3237" t="s">
        <v>3662</v>
      </c>
      <c r="G794" s="3237" t="s">
        <v>3221</v>
      </c>
      <c r="H794" s="3236" t="s">
        <v>4464</v>
      </c>
      <c r="I794" s="3236">
        <v>29.09</v>
      </c>
    </row>
    <row r="795" spans="1:9" ht="11.25" hidden="1" customHeight="1" x14ac:dyDescent="0.2">
      <c r="A795" s="3237" t="s">
        <v>4475</v>
      </c>
      <c r="B795" s="3237" t="s">
        <v>4019</v>
      </c>
      <c r="C795" s="3237" t="s">
        <v>4461</v>
      </c>
      <c r="D795" s="3237" t="s">
        <v>4462</v>
      </c>
      <c r="E795" s="3237" t="s">
        <v>4476</v>
      </c>
      <c r="F795" s="3237" t="s">
        <v>3662</v>
      </c>
      <c r="G795" s="3237" t="s">
        <v>3221</v>
      </c>
      <c r="H795" s="3236" t="s">
        <v>4464</v>
      </c>
      <c r="I795" s="3236">
        <v>29.09</v>
      </c>
    </row>
    <row r="796" spans="1:9" ht="11.25" hidden="1" customHeight="1" x14ac:dyDescent="0.2">
      <c r="A796" s="3237" t="s">
        <v>4475</v>
      </c>
      <c r="B796" s="3237" t="s">
        <v>4020</v>
      </c>
      <c r="C796" s="3237" t="s">
        <v>4461</v>
      </c>
      <c r="D796" s="3237" t="s">
        <v>4462</v>
      </c>
      <c r="E796" s="3237" t="s">
        <v>4476</v>
      </c>
      <c r="F796" s="3237" t="s">
        <v>3662</v>
      </c>
      <c r="G796" s="3237" t="s">
        <v>3221</v>
      </c>
      <c r="H796" s="3236" t="s">
        <v>4464</v>
      </c>
      <c r="I796" s="3236">
        <v>29.09</v>
      </c>
    </row>
    <row r="797" spans="1:9" ht="11.25" hidden="1" customHeight="1" x14ac:dyDescent="0.2">
      <c r="A797" s="3237" t="s">
        <v>4475</v>
      </c>
      <c r="B797" s="3237" t="s">
        <v>4021</v>
      </c>
      <c r="C797" s="3237" t="s">
        <v>4461</v>
      </c>
      <c r="D797" s="3237" t="s">
        <v>4462</v>
      </c>
      <c r="E797" s="3237" t="s">
        <v>4476</v>
      </c>
      <c r="F797" s="3237" t="s">
        <v>3662</v>
      </c>
      <c r="G797" s="3237" t="s">
        <v>3221</v>
      </c>
      <c r="H797" s="3236" t="s">
        <v>4464</v>
      </c>
      <c r="I797" s="3236">
        <v>29.09</v>
      </c>
    </row>
    <row r="798" spans="1:9" ht="11.25" hidden="1" customHeight="1" x14ac:dyDescent="0.2">
      <c r="A798" s="3237" t="s">
        <v>4475</v>
      </c>
      <c r="B798" s="3237" t="s">
        <v>4022</v>
      </c>
      <c r="C798" s="3237" t="s">
        <v>4461</v>
      </c>
      <c r="D798" s="3237" t="s">
        <v>4462</v>
      </c>
      <c r="E798" s="3237" t="s">
        <v>4476</v>
      </c>
      <c r="F798" s="3237" t="s">
        <v>3662</v>
      </c>
      <c r="G798" s="3237" t="s">
        <v>3221</v>
      </c>
      <c r="H798" s="3236" t="s">
        <v>4464</v>
      </c>
      <c r="I798" s="3236">
        <v>29.09</v>
      </c>
    </row>
    <row r="799" spans="1:9" ht="11.25" hidden="1" customHeight="1" x14ac:dyDescent="0.2">
      <c r="A799" s="3237" t="s">
        <v>4475</v>
      </c>
      <c r="B799" s="3237" t="s">
        <v>4023</v>
      </c>
      <c r="C799" s="3237" t="s">
        <v>4461</v>
      </c>
      <c r="D799" s="3237" t="s">
        <v>4462</v>
      </c>
      <c r="E799" s="3237" t="s">
        <v>4476</v>
      </c>
      <c r="F799" s="3237" t="s">
        <v>3662</v>
      </c>
      <c r="G799" s="3237" t="s">
        <v>3221</v>
      </c>
      <c r="H799" s="3236" t="s">
        <v>4464</v>
      </c>
      <c r="I799" s="3236">
        <v>29.09</v>
      </c>
    </row>
    <row r="800" spans="1:9" ht="11.25" hidden="1" customHeight="1" x14ac:dyDescent="0.2">
      <c r="A800" s="3237" t="s">
        <v>4475</v>
      </c>
      <c r="B800" s="3237" t="s">
        <v>4024</v>
      </c>
      <c r="C800" s="3237" t="s">
        <v>4461</v>
      </c>
      <c r="D800" s="3237" t="s">
        <v>4462</v>
      </c>
      <c r="E800" s="3237" t="s">
        <v>4476</v>
      </c>
      <c r="F800" s="3237" t="s">
        <v>3662</v>
      </c>
      <c r="G800" s="3237" t="s">
        <v>3221</v>
      </c>
      <c r="H800" s="3236" t="s">
        <v>4464</v>
      </c>
      <c r="I800" s="3236">
        <v>29.09</v>
      </c>
    </row>
    <row r="801" spans="1:9" ht="11.25" hidden="1" customHeight="1" x14ac:dyDescent="0.2">
      <c r="A801" s="3237" t="s">
        <v>4475</v>
      </c>
      <c r="B801" s="3237" t="s">
        <v>4025</v>
      </c>
      <c r="C801" s="3237" t="s">
        <v>4461</v>
      </c>
      <c r="D801" s="3237" t="s">
        <v>4462</v>
      </c>
      <c r="E801" s="3237" t="s">
        <v>4476</v>
      </c>
      <c r="F801" s="3237" t="s">
        <v>3662</v>
      </c>
      <c r="G801" s="3237" t="s">
        <v>3221</v>
      </c>
      <c r="H801" s="3236" t="s">
        <v>4464</v>
      </c>
      <c r="I801" s="3236">
        <v>29.09</v>
      </c>
    </row>
    <row r="802" spans="1:9" ht="11.25" hidden="1" customHeight="1" x14ac:dyDescent="0.2">
      <c r="A802" s="3237" t="s">
        <v>4475</v>
      </c>
      <c r="B802" s="3237" t="s">
        <v>4026</v>
      </c>
      <c r="C802" s="3237" t="s">
        <v>4461</v>
      </c>
      <c r="D802" s="3237" t="s">
        <v>4462</v>
      </c>
      <c r="E802" s="3237" t="s">
        <v>4476</v>
      </c>
      <c r="F802" s="3237" t="s">
        <v>3662</v>
      </c>
      <c r="G802" s="3237" t="s">
        <v>3221</v>
      </c>
      <c r="H802" s="3236" t="s">
        <v>4464</v>
      </c>
      <c r="I802" s="3236">
        <v>29.09</v>
      </c>
    </row>
    <row r="803" spans="1:9" ht="11.25" hidden="1" customHeight="1" x14ac:dyDescent="0.2">
      <c r="A803" s="3237" t="s">
        <v>4475</v>
      </c>
      <c r="B803" s="3237" t="s">
        <v>4027</v>
      </c>
      <c r="C803" s="3237" t="s">
        <v>4461</v>
      </c>
      <c r="D803" s="3237" t="s">
        <v>4462</v>
      </c>
      <c r="E803" s="3237" t="s">
        <v>4476</v>
      </c>
      <c r="F803" s="3237" t="s">
        <v>3662</v>
      </c>
      <c r="G803" s="3237" t="s">
        <v>3221</v>
      </c>
      <c r="H803" s="3236" t="s">
        <v>4464</v>
      </c>
      <c r="I803" s="3236">
        <v>29.09</v>
      </c>
    </row>
    <row r="804" spans="1:9" ht="11.25" hidden="1" customHeight="1" x14ac:dyDescent="0.2">
      <c r="A804" s="3237" t="s">
        <v>4475</v>
      </c>
      <c r="B804" s="3237" t="s">
        <v>4028</v>
      </c>
      <c r="C804" s="3237" t="s">
        <v>4461</v>
      </c>
      <c r="D804" s="3237" t="s">
        <v>4462</v>
      </c>
      <c r="E804" s="3237" t="s">
        <v>4476</v>
      </c>
      <c r="F804" s="3237" t="s">
        <v>3662</v>
      </c>
      <c r="G804" s="3237" t="s">
        <v>3221</v>
      </c>
      <c r="H804" s="3236" t="s">
        <v>4464</v>
      </c>
      <c r="I804" s="3236">
        <v>29.09</v>
      </c>
    </row>
    <row r="805" spans="1:9" ht="11.25" hidden="1" customHeight="1" x14ac:dyDescent="0.2">
      <c r="A805" s="3237" t="s">
        <v>4475</v>
      </c>
      <c r="B805" s="3237" t="s">
        <v>4029</v>
      </c>
      <c r="C805" s="3237" t="s">
        <v>4461</v>
      </c>
      <c r="D805" s="3237" t="s">
        <v>4462</v>
      </c>
      <c r="E805" s="3237" t="s">
        <v>4476</v>
      </c>
      <c r="F805" s="3237" t="s">
        <v>3662</v>
      </c>
      <c r="G805" s="3237" t="s">
        <v>3221</v>
      </c>
      <c r="H805" s="3236" t="s">
        <v>4464</v>
      </c>
      <c r="I805" s="3236">
        <v>29.09</v>
      </c>
    </row>
    <row r="806" spans="1:9" ht="11.25" hidden="1" customHeight="1" x14ac:dyDescent="0.2">
      <c r="A806" s="3237" t="s">
        <v>4475</v>
      </c>
      <c r="B806" s="3237" t="s">
        <v>4030</v>
      </c>
      <c r="C806" s="3237" t="s">
        <v>4461</v>
      </c>
      <c r="D806" s="3237" t="s">
        <v>4462</v>
      </c>
      <c r="E806" s="3237" t="s">
        <v>4476</v>
      </c>
      <c r="F806" s="3237" t="s">
        <v>3662</v>
      </c>
      <c r="G806" s="3237" t="s">
        <v>3221</v>
      </c>
      <c r="H806" s="3236" t="s">
        <v>4464</v>
      </c>
      <c r="I806" s="3236">
        <v>29.09</v>
      </c>
    </row>
    <row r="807" spans="1:9" ht="11.25" hidden="1" customHeight="1" x14ac:dyDescent="0.2">
      <c r="A807" s="3237" t="s">
        <v>4475</v>
      </c>
      <c r="B807" s="3237" t="s">
        <v>4031</v>
      </c>
      <c r="C807" s="3237" t="s">
        <v>4461</v>
      </c>
      <c r="D807" s="3237" t="s">
        <v>4462</v>
      </c>
      <c r="E807" s="3237" t="s">
        <v>4476</v>
      </c>
      <c r="F807" s="3237" t="s">
        <v>3662</v>
      </c>
      <c r="G807" s="3237" t="s">
        <v>3221</v>
      </c>
      <c r="H807" s="3236" t="s">
        <v>4464</v>
      </c>
      <c r="I807" s="3236">
        <v>29.09</v>
      </c>
    </row>
    <row r="808" spans="1:9" ht="11.25" hidden="1" customHeight="1" x14ac:dyDescent="0.2">
      <c r="A808" s="3237" t="s">
        <v>4475</v>
      </c>
      <c r="B808" s="3237" t="s">
        <v>4032</v>
      </c>
      <c r="C808" s="3237" t="s">
        <v>4461</v>
      </c>
      <c r="D808" s="3237" t="s">
        <v>4462</v>
      </c>
      <c r="E808" s="3237" t="s">
        <v>4476</v>
      </c>
      <c r="F808" s="3237" t="s">
        <v>3662</v>
      </c>
      <c r="G808" s="3237" t="s">
        <v>3221</v>
      </c>
      <c r="H808" s="3236" t="s">
        <v>4464</v>
      </c>
      <c r="I808" s="3236">
        <v>29.09</v>
      </c>
    </row>
    <row r="809" spans="1:9" ht="11.25" hidden="1" customHeight="1" x14ac:dyDescent="0.2">
      <c r="A809" s="3237" t="s">
        <v>4475</v>
      </c>
      <c r="B809" s="3237" t="s">
        <v>4033</v>
      </c>
      <c r="C809" s="3237" t="s">
        <v>4461</v>
      </c>
      <c r="D809" s="3237" t="s">
        <v>4462</v>
      </c>
      <c r="E809" s="3237" t="s">
        <v>4476</v>
      </c>
      <c r="F809" s="3237" t="s">
        <v>3662</v>
      </c>
      <c r="G809" s="3237" t="s">
        <v>3221</v>
      </c>
      <c r="H809" s="3236" t="s">
        <v>4464</v>
      </c>
      <c r="I809" s="3236">
        <v>29.09</v>
      </c>
    </row>
    <row r="810" spans="1:9" ht="11.25" hidden="1" customHeight="1" x14ac:dyDescent="0.2">
      <c r="A810" s="3237" t="s">
        <v>4475</v>
      </c>
      <c r="B810" s="3237" t="s">
        <v>4034</v>
      </c>
      <c r="C810" s="3237" t="s">
        <v>4461</v>
      </c>
      <c r="D810" s="3237" t="s">
        <v>4462</v>
      </c>
      <c r="E810" s="3237" t="s">
        <v>4476</v>
      </c>
      <c r="F810" s="3237" t="s">
        <v>3662</v>
      </c>
      <c r="G810" s="3237" t="s">
        <v>3221</v>
      </c>
      <c r="H810" s="3236" t="s">
        <v>4464</v>
      </c>
      <c r="I810" s="3236">
        <v>29.09</v>
      </c>
    </row>
    <row r="811" spans="1:9" ht="11.25" hidden="1" customHeight="1" x14ac:dyDescent="0.2">
      <c r="A811" s="3237" t="s">
        <v>4475</v>
      </c>
      <c r="B811" s="3237" t="s">
        <v>4035</v>
      </c>
      <c r="C811" s="3237" t="s">
        <v>4461</v>
      </c>
      <c r="D811" s="3237" t="s">
        <v>4462</v>
      </c>
      <c r="E811" s="3237" t="s">
        <v>4476</v>
      </c>
      <c r="F811" s="3237" t="s">
        <v>3662</v>
      </c>
      <c r="G811" s="3237" t="s">
        <v>3221</v>
      </c>
      <c r="H811" s="3236" t="s">
        <v>4464</v>
      </c>
      <c r="I811" s="3236">
        <v>29.09</v>
      </c>
    </row>
    <row r="812" spans="1:9" ht="11.25" hidden="1" customHeight="1" x14ac:dyDescent="0.2">
      <c r="A812" s="3237" t="s">
        <v>4475</v>
      </c>
      <c r="B812" s="3237" t="s">
        <v>4036</v>
      </c>
      <c r="C812" s="3237" t="s">
        <v>4461</v>
      </c>
      <c r="D812" s="3237" t="s">
        <v>4462</v>
      </c>
      <c r="E812" s="3237" t="s">
        <v>4476</v>
      </c>
      <c r="F812" s="3237" t="s">
        <v>3662</v>
      </c>
      <c r="G812" s="3237" t="s">
        <v>3221</v>
      </c>
      <c r="H812" s="3236" t="s">
        <v>4464</v>
      </c>
      <c r="I812" s="3236">
        <v>29.09</v>
      </c>
    </row>
    <row r="813" spans="1:9" ht="11.25" hidden="1" customHeight="1" x14ac:dyDescent="0.2">
      <c r="A813" s="3237" t="s">
        <v>4475</v>
      </c>
      <c r="B813" s="3237" t="s">
        <v>4037</v>
      </c>
      <c r="C813" s="3237" t="s">
        <v>4461</v>
      </c>
      <c r="D813" s="3237" t="s">
        <v>4462</v>
      </c>
      <c r="E813" s="3237" t="s">
        <v>4476</v>
      </c>
      <c r="F813" s="3237" t="s">
        <v>3662</v>
      </c>
      <c r="G813" s="3237" t="s">
        <v>3221</v>
      </c>
      <c r="H813" s="3236" t="s">
        <v>4464</v>
      </c>
      <c r="I813" s="3236">
        <v>29.09</v>
      </c>
    </row>
    <row r="814" spans="1:9" ht="11.25" hidden="1" customHeight="1" x14ac:dyDescent="0.2">
      <c r="A814" s="3237" t="s">
        <v>4475</v>
      </c>
      <c r="B814" s="3237" t="s">
        <v>4038</v>
      </c>
      <c r="C814" s="3237" t="s">
        <v>4461</v>
      </c>
      <c r="D814" s="3237" t="s">
        <v>4462</v>
      </c>
      <c r="E814" s="3237" t="s">
        <v>4476</v>
      </c>
      <c r="F814" s="3237" t="s">
        <v>3662</v>
      </c>
      <c r="G814" s="3237" t="s">
        <v>3221</v>
      </c>
      <c r="H814" s="3236" t="s">
        <v>4464</v>
      </c>
      <c r="I814" s="3236">
        <v>29.09</v>
      </c>
    </row>
    <row r="815" spans="1:9" ht="11.25" hidden="1" customHeight="1" x14ac:dyDescent="0.2">
      <c r="A815" s="3237" t="s">
        <v>4475</v>
      </c>
      <c r="B815" s="3237" t="s">
        <v>4039</v>
      </c>
      <c r="C815" s="3237" t="s">
        <v>4461</v>
      </c>
      <c r="D815" s="3237" t="s">
        <v>4462</v>
      </c>
      <c r="E815" s="3237" t="s">
        <v>4476</v>
      </c>
      <c r="F815" s="3237" t="s">
        <v>3662</v>
      </c>
      <c r="G815" s="3237" t="s">
        <v>3221</v>
      </c>
      <c r="H815" s="3236" t="s">
        <v>4464</v>
      </c>
      <c r="I815" s="3236">
        <v>29.09</v>
      </c>
    </row>
    <row r="816" spans="1:9" ht="11.25" hidden="1" customHeight="1" x14ac:dyDescent="0.2">
      <c r="A816" s="3237" t="s">
        <v>4475</v>
      </c>
      <c r="B816" s="3237" t="s">
        <v>4040</v>
      </c>
      <c r="C816" s="3237" t="s">
        <v>4461</v>
      </c>
      <c r="D816" s="3237" t="s">
        <v>4462</v>
      </c>
      <c r="E816" s="3237" t="s">
        <v>4476</v>
      </c>
      <c r="F816" s="3237" t="s">
        <v>3662</v>
      </c>
      <c r="G816" s="3237" t="s">
        <v>3221</v>
      </c>
      <c r="H816" s="3236" t="s">
        <v>4464</v>
      </c>
      <c r="I816" s="3236">
        <v>29.09</v>
      </c>
    </row>
    <row r="817" spans="1:9" ht="11.25" hidden="1" customHeight="1" x14ac:dyDescent="0.2">
      <c r="A817" s="3237" t="s">
        <v>4475</v>
      </c>
      <c r="B817" s="3237" t="s">
        <v>4041</v>
      </c>
      <c r="C817" s="3237" t="s">
        <v>4461</v>
      </c>
      <c r="D817" s="3237" t="s">
        <v>4462</v>
      </c>
      <c r="E817" s="3237" t="s">
        <v>4476</v>
      </c>
      <c r="F817" s="3237" t="s">
        <v>3662</v>
      </c>
      <c r="G817" s="3237" t="s">
        <v>3221</v>
      </c>
      <c r="H817" s="3236" t="s">
        <v>4464</v>
      </c>
      <c r="I817" s="3236">
        <v>29.09</v>
      </c>
    </row>
    <row r="818" spans="1:9" ht="11.25" hidden="1" customHeight="1" x14ac:dyDescent="0.2">
      <c r="A818" s="3237" t="s">
        <v>4475</v>
      </c>
      <c r="B818" s="3237" t="s">
        <v>4042</v>
      </c>
      <c r="C818" s="3237" t="s">
        <v>4461</v>
      </c>
      <c r="D818" s="3237" t="s">
        <v>4462</v>
      </c>
      <c r="E818" s="3237" t="s">
        <v>4476</v>
      </c>
      <c r="F818" s="3237" t="s">
        <v>3662</v>
      </c>
      <c r="G818" s="3237" t="s">
        <v>3221</v>
      </c>
      <c r="H818" s="3236" t="s">
        <v>4464</v>
      </c>
      <c r="I818" s="3236">
        <v>29.09</v>
      </c>
    </row>
    <row r="819" spans="1:9" ht="11.25" hidden="1" customHeight="1" x14ac:dyDescent="0.2">
      <c r="A819" s="3237" t="s">
        <v>4475</v>
      </c>
      <c r="B819" s="3237" t="s">
        <v>4043</v>
      </c>
      <c r="C819" s="3237" t="s">
        <v>4461</v>
      </c>
      <c r="D819" s="3237" t="s">
        <v>4462</v>
      </c>
      <c r="E819" s="3237" t="s">
        <v>4476</v>
      </c>
      <c r="F819" s="3237" t="s">
        <v>3662</v>
      </c>
      <c r="G819" s="3237" t="s">
        <v>3221</v>
      </c>
      <c r="H819" s="3236" t="s">
        <v>4464</v>
      </c>
      <c r="I819" s="3236">
        <v>29.09</v>
      </c>
    </row>
    <row r="820" spans="1:9" ht="11.25" hidden="1" customHeight="1" x14ac:dyDescent="0.2">
      <c r="A820" s="3237" t="s">
        <v>4475</v>
      </c>
      <c r="B820" s="3237" t="s">
        <v>4044</v>
      </c>
      <c r="C820" s="3237" t="s">
        <v>4461</v>
      </c>
      <c r="D820" s="3237" t="s">
        <v>4462</v>
      </c>
      <c r="E820" s="3237" t="s">
        <v>4476</v>
      </c>
      <c r="F820" s="3237" t="s">
        <v>3662</v>
      </c>
      <c r="G820" s="3237" t="s">
        <v>3221</v>
      </c>
      <c r="H820" s="3236" t="s">
        <v>4464</v>
      </c>
      <c r="I820" s="3236">
        <v>29.09</v>
      </c>
    </row>
    <row r="821" spans="1:9" ht="11.25" hidden="1" customHeight="1" x14ac:dyDescent="0.2">
      <c r="A821" s="3237" t="s">
        <v>4475</v>
      </c>
      <c r="B821" s="3237" t="s">
        <v>4045</v>
      </c>
      <c r="C821" s="3237" t="s">
        <v>4461</v>
      </c>
      <c r="D821" s="3237" t="s">
        <v>4462</v>
      </c>
      <c r="E821" s="3237" t="s">
        <v>4476</v>
      </c>
      <c r="F821" s="3237" t="s">
        <v>3662</v>
      </c>
      <c r="G821" s="3237" t="s">
        <v>3221</v>
      </c>
      <c r="H821" s="3236" t="s">
        <v>4464</v>
      </c>
      <c r="I821" s="3236">
        <v>29.09</v>
      </c>
    </row>
    <row r="822" spans="1:9" ht="11.25" hidden="1" customHeight="1" x14ac:dyDescent="0.2">
      <c r="A822" s="3237" t="s">
        <v>4475</v>
      </c>
      <c r="B822" s="3237" t="s">
        <v>4046</v>
      </c>
      <c r="C822" s="3237" t="s">
        <v>4461</v>
      </c>
      <c r="D822" s="3237" t="s">
        <v>4462</v>
      </c>
      <c r="E822" s="3237" t="s">
        <v>4476</v>
      </c>
      <c r="F822" s="3237" t="s">
        <v>3662</v>
      </c>
      <c r="G822" s="3237" t="s">
        <v>3221</v>
      </c>
      <c r="H822" s="3236" t="s">
        <v>4464</v>
      </c>
      <c r="I822" s="3236">
        <v>29.09</v>
      </c>
    </row>
    <row r="823" spans="1:9" ht="11.25" hidden="1" customHeight="1" x14ac:dyDescent="0.2">
      <c r="A823" s="3237" t="s">
        <v>4475</v>
      </c>
      <c r="B823" s="3237" t="s">
        <v>4047</v>
      </c>
      <c r="C823" s="3237" t="s">
        <v>4461</v>
      </c>
      <c r="D823" s="3237" t="s">
        <v>4462</v>
      </c>
      <c r="E823" s="3237" t="s">
        <v>4476</v>
      </c>
      <c r="F823" s="3237" t="s">
        <v>3662</v>
      </c>
      <c r="G823" s="3237" t="s">
        <v>3221</v>
      </c>
      <c r="H823" s="3236" t="s">
        <v>4464</v>
      </c>
      <c r="I823" s="3236">
        <v>29.09</v>
      </c>
    </row>
    <row r="824" spans="1:9" ht="11.25" hidden="1" customHeight="1" x14ac:dyDescent="0.2">
      <c r="A824" s="3237" t="s">
        <v>4475</v>
      </c>
      <c r="B824" s="3237" t="s">
        <v>4048</v>
      </c>
      <c r="C824" s="3237" t="s">
        <v>4461</v>
      </c>
      <c r="D824" s="3237" t="s">
        <v>4462</v>
      </c>
      <c r="E824" s="3237" t="s">
        <v>4476</v>
      </c>
      <c r="F824" s="3237" t="s">
        <v>3662</v>
      </c>
      <c r="G824" s="3237" t="s">
        <v>3221</v>
      </c>
      <c r="H824" s="3236" t="s">
        <v>4464</v>
      </c>
      <c r="I824" s="3236">
        <v>29.09</v>
      </c>
    </row>
    <row r="825" spans="1:9" ht="11.25" hidden="1" customHeight="1" x14ac:dyDescent="0.2">
      <c r="A825" s="3237" t="s">
        <v>4475</v>
      </c>
      <c r="B825" s="3237" t="s">
        <v>4049</v>
      </c>
      <c r="C825" s="3237" t="s">
        <v>4461</v>
      </c>
      <c r="D825" s="3237" t="s">
        <v>4462</v>
      </c>
      <c r="E825" s="3237" t="s">
        <v>4476</v>
      </c>
      <c r="F825" s="3237" t="s">
        <v>3662</v>
      </c>
      <c r="G825" s="3237" t="s">
        <v>3221</v>
      </c>
      <c r="H825" s="3236" t="s">
        <v>4464</v>
      </c>
      <c r="I825" s="3236">
        <v>29.09</v>
      </c>
    </row>
    <row r="826" spans="1:9" ht="11.25" hidden="1" customHeight="1" x14ac:dyDescent="0.2">
      <c r="A826" s="3237" t="s">
        <v>4475</v>
      </c>
      <c r="B826" s="3237" t="s">
        <v>4050</v>
      </c>
      <c r="C826" s="3237" t="s">
        <v>4461</v>
      </c>
      <c r="D826" s="3237" t="s">
        <v>4462</v>
      </c>
      <c r="E826" s="3237" t="s">
        <v>4476</v>
      </c>
      <c r="F826" s="3237" t="s">
        <v>3662</v>
      </c>
      <c r="G826" s="3237" t="s">
        <v>3221</v>
      </c>
      <c r="H826" s="3236" t="s">
        <v>4464</v>
      </c>
      <c r="I826" s="3236">
        <v>29.09</v>
      </c>
    </row>
    <row r="827" spans="1:9" ht="11.25" hidden="1" customHeight="1" x14ac:dyDescent="0.2">
      <c r="A827" s="3237" t="s">
        <v>4475</v>
      </c>
      <c r="B827" s="3237" t="s">
        <v>4051</v>
      </c>
      <c r="C827" s="3237" t="s">
        <v>4461</v>
      </c>
      <c r="D827" s="3237" t="s">
        <v>4462</v>
      </c>
      <c r="E827" s="3237" t="s">
        <v>4476</v>
      </c>
      <c r="F827" s="3237" t="s">
        <v>3662</v>
      </c>
      <c r="G827" s="3237" t="s">
        <v>3221</v>
      </c>
      <c r="H827" s="3236" t="s">
        <v>4464</v>
      </c>
      <c r="I827" s="3236">
        <v>29.09</v>
      </c>
    </row>
    <row r="828" spans="1:9" ht="11.25" hidden="1" customHeight="1" x14ac:dyDescent="0.2">
      <c r="A828" s="3237" t="s">
        <v>4475</v>
      </c>
      <c r="B828" s="3237" t="s">
        <v>4052</v>
      </c>
      <c r="C828" s="3237" t="s">
        <v>4461</v>
      </c>
      <c r="D828" s="3237" t="s">
        <v>4462</v>
      </c>
      <c r="E828" s="3237" t="s">
        <v>4476</v>
      </c>
      <c r="F828" s="3237" t="s">
        <v>3662</v>
      </c>
      <c r="G828" s="3237" t="s">
        <v>3221</v>
      </c>
      <c r="H828" s="3236" t="s">
        <v>4464</v>
      </c>
      <c r="I828" s="3236">
        <v>29.09</v>
      </c>
    </row>
    <row r="829" spans="1:9" ht="11.25" hidden="1" customHeight="1" x14ac:dyDescent="0.2">
      <c r="A829" s="3237" t="s">
        <v>4475</v>
      </c>
      <c r="B829" s="3237" t="s">
        <v>4053</v>
      </c>
      <c r="C829" s="3237" t="s">
        <v>4461</v>
      </c>
      <c r="D829" s="3237" t="s">
        <v>4462</v>
      </c>
      <c r="E829" s="3237" t="s">
        <v>4476</v>
      </c>
      <c r="F829" s="3237" t="s">
        <v>3662</v>
      </c>
      <c r="G829" s="3237" t="s">
        <v>3221</v>
      </c>
      <c r="H829" s="3236" t="s">
        <v>4464</v>
      </c>
      <c r="I829" s="3236">
        <v>29.09</v>
      </c>
    </row>
    <row r="830" spans="1:9" ht="11.25" hidden="1" customHeight="1" x14ac:dyDescent="0.2">
      <c r="A830" s="3237" t="s">
        <v>4475</v>
      </c>
      <c r="B830" s="3237" t="s">
        <v>4054</v>
      </c>
      <c r="C830" s="3237" t="s">
        <v>4461</v>
      </c>
      <c r="D830" s="3237" t="s">
        <v>4462</v>
      </c>
      <c r="E830" s="3237" t="s">
        <v>4476</v>
      </c>
      <c r="F830" s="3237" t="s">
        <v>3662</v>
      </c>
      <c r="G830" s="3237" t="s">
        <v>3221</v>
      </c>
      <c r="H830" s="3236" t="s">
        <v>4464</v>
      </c>
      <c r="I830" s="3236">
        <v>29.09</v>
      </c>
    </row>
    <row r="831" spans="1:9" ht="11.25" hidden="1" customHeight="1" x14ac:dyDescent="0.2">
      <c r="A831" s="3237" t="s">
        <v>4475</v>
      </c>
      <c r="B831" s="3237" t="s">
        <v>4055</v>
      </c>
      <c r="C831" s="3237" t="s">
        <v>4461</v>
      </c>
      <c r="D831" s="3237" t="s">
        <v>4462</v>
      </c>
      <c r="E831" s="3237" t="s">
        <v>4476</v>
      </c>
      <c r="F831" s="3237" t="s">
        <v>3662</v>
      </c>
      <c r="G831" s="3237" t="s">
        <v>3221</v>
      </c>
      <c r="H831" s="3236" t="s">
        <v>4464</v>
      </c>
      <c r="I831" s="3236">
        <v>29.09</v>
      </c>
    </row>
    <row r="832" spans="1:9" ht="11.25" hidden="1" customHeight="1" x14ac:dyDescent="0.2">
      <c r="A832" s="3237" t="s">
        <v>4475</v>
      </c>
      <c r="B832" s="3237" t="s">
        <v>4056</v>
      </c>
      <c r="C832" s="3237" t="s">
        <v>4461</v>
      </c>
      <c r="D832" s="3237" t="s">
        <v>4462</v>
      </c>
      <c r="E832" s="3237" t="s">
        <v>4476</v>
      </c>
      <c r="F832" s="3237" t="s">
        <v>3662</v>
      </c>
      <c r="G832" s="3237" t="s">
        <v>3221</v>
      </c>
      <c r="H832" s="3236" t="s">
        <v>4464</v>
      </c>
      <c r="I832" s="3236">
        <v>29.09</v>
      </c>
    </row>
    <row r="833" spans="1:9" ht="11.25" hidden="1" customHeight="1" x14ac:dyDescent="0.2">
      <c r="A833" s="3237" t="s">
        <v>4475</v>
      </c>
      <c r="B833" s="3237" t="s">
        <v>4057</v>
      </c>
      <c r="C833" s="3237" t="s">
        <v>4461</v>
      </c>
      <c r="D833" s="3237" t="s">
        <v>4462</v>
      </c>
      <c r="E833" s="3237" t="s">
        <v>4476</v>
      </c>
      <c r="F833" s="3237" t="s">
        <v>3662</v>
      </c>
      <c r="G833" s="3237" t="s">
        <v>3221</v>
      </c>
      <c r="H833" s="3236" t="s">
        <v>4464</v>
      </c>
      <c r="I833" s="3236">
        <v>29.09</v>
      </c>
    </row>
    <row r="834" spans="1:9" ht="11.25" hidden="1" customHeight="1" x14ac:dyDescent="0.2">
      <c r="A834" s="3237" t="s">
        <v>4475</v>
      </c>
      <c r="B834" s="3237" t="s">
        <v>4058</v>
      </c>
      <c r="C834" s="3237" t="s">
        <v>4461</v>
      </c>
      <c r="D834" s="3237" t="s">
        <v>4462</v>
      </c>
      <c r="E834" s="3237" t="s">
        <v>4476</v>
      </c>
      <c r="F834" s="3237" t="s">
        <v>3662</v>
      </c>
      <c r="G834" s="3237" t="s">
        <v>3221</v>
      </c>
      <c r="H834" s="3236" t="s">
        <v>4464</v>
      </c>
      <c r="I834" s="3236">
        <v>29.09</v>
      </c>
    </row>
    <row r="835" spans="1:9" ht="11.25" hidden="1" customHeight="1" x14ac:dyDescent="0.2">
      <c r="A835" s="3237" t="s">
        <v>4475</v>
      </c>
      <c r="B835" s="3237" t="s">
        <v>4059</v>
      </c>
      <c r="C835" s="3237" t="s">
        <v>4461</v>
      </c>
      <c r="D835" s="3237" t="s">
        <v>4462</v>
      </c>
      <c r="E835" s="3237" t="s">
        <v>4476</v>
      </c>
      <c r="F835" s="3237" t="s">
        <v>3662</v>
      </c>
      <c r="G835" s="3237" t="s">
        <v>3221</v>
      </c>
      <c r="H835" s="3236" t="s">
        <v>4464</v>
      </c>
      <c r="I835" s="3236">
        <v>29.09</v>
      </c>
    </row>
    <row r="836" spans="1:9" ht="11.25" hidden="1" customHeight="1" x14ac:dyDescent="0.2">
      <c r="A836" s="3237" t="s">
        <v>4475</v>
      </c>
      <c r="B836" s="3237" t="s">
        <v>4060</v>
      </c>
      <c r="C836" s="3237" t="s">
        <v>4461</v>
      </c>
      <c r="D836" s="3237" t="s">
        <v>4462</v>
      </c>
      <c r="E836" s="3237" t="s">
        <v>4476</v>
      </c>
      <c r="F836" s="3237" t="s">
        <v>3662</v>
      </c>
      <c r="G836" s="3237" t="s">
        <v>3221</v>
      </c>
      <c r="H836" s="3236" t="s">
        <v>4464</v>
      </c>
      <c r="I836" s="3236">
        <v>29.09</v>
      </c>
    </row>
    <row r="837" spans="1:9" ht="11.25" hidden="1" customHeight="1" x14ac:dyDescent="0.2">
      <c r="A837" s="3237" t="s">
        <v>4475</v>
      </c>
      <c r="B837" s="3237" t="s">
        <v>4061</v>
      </c>
      <c r="C837" s="3237" t="s">
        <v>4461</v>
      </c>
      <c r="D837" s="3237" t="s">
        <v>4462</v>
      </c>
      <c r="E837" s="3237" t="s">
        <v>4476</v>
      </c>
      <c r="F837" s="3237" t="s">
        <v>3662</v>
      </c>
      <c r="G837" s="3237" t="s">
        <v>3221</v>
      </c>
      <c r="H837" s="3236" t="s">
        <v>4464</v>
      </c>
      <c r="I837" s="3236">
        <v>29.09</v>
      </c>
    </row>
    <row r="838" spans="1:9" ht="11.25" hidden="1" customHeight="1" x14ac:dyDescent="0.2">
      <c r="A838" s="3237" t="s">
        <v>4475</v>
      </c>
      <c r="B838" s="3237" t="s">
        <v>4062</v>
      </c>
      <c r="C838" s="3237" t="s">
        <v>4461</v>
      </c>
      <c r="D838" s="3237" t="s">
        <v>4462</v>
      </c>
      <c r="E838" s="3237" t="s">
        <v>4476</v>
      </c>
      <c r="F838" s="3237" t="s">
        <v>3662</v>
      </c>
      <c r="G838" s="3237" t="s">
        <v>3221</v>
      </c>
      <c r="H838" s="3236" t="s">
        <v>4464</v>
      </c>
      <c r="I838" s="3236">
        <v>29.09</v>
      </c>
    </row>
    <row r="839" spans="1:9" ht="11.25" hidden="1" customHeight="1" x14ac:dyDescent="0.2">
      <c r="A839" s="3237" t="s">
        <v>4475</v>
      </c>
      <c r="B839" s="3237" t="s">
        <v>4063</v>
      </c>
      <c r="C839" s="3237" t="s">
        <v>4461</v>
      </c>
      <c r="D839" s="3237" t="s">
        <v>4462</v>
      </c>
      <c r="E839" s="3237" t="s">
        <v>4476</v>
      </c>
      <c r="F839" s="3237" t="s">
        <v>3662</v>
      </c>
      <c r="G839" s="3237" t="s">
        <v>3221</v>
      </c>
      <c r="H839" s="3236" t="s">
        <v>4464</v>
      </c>
      <c r="I839" s="3236">
        <v>29.09</v>
      </c>
    </row>
    <row r="840" spans="1:9" ht="11.25" hidden="1" customHeight="1" x14ac:dyDescent="0.2">
      <c r="A840" s="3237" t="s">
        <v>4475</v>
      </c>
      <c r="B840" s="3237" t="s">
        <v>4064</v>
      </c>
      <c r="C840" s="3237" t="s">
        <v>4461</v>
      </c>
      <c r="D840" s="3237" t="s">
        <v>4462</v>
      </c>
      <c r="E840" s="3237" t="s">
        <v>4476</v>
      </c>
      <c r="F840" s="3237" t="s">
        <v>3662</v>
      </c>
      <c r="G840" s="3237" t="s">
        <v>3221</v>
      </c>
      <c r="H840" s="3236" t="s">
        <v>4464</v>
      </c>
      <c r="I840" s="3236">
        <v>29.09</v>
      </c>
    </row>
    <row r="841" spans="1:9" ht="11.25" hidden="1" customHeight="1" x14ac:dyDescent="0.2">
      <c r="A841" s="3237" t="s">
        <v>4475</v>
      </c>
      <c r="B841" s="3237" t="s">
        <v>4065</v>
      </c>
      <c r="C841" s="3237" t="s">
        <v>4461</v>
      </c>
      <c r="D841" s="3237" t="s">
        <v>4462</v>
      </c>
      <c r="E841" s="3237" t="s">
        <v>4476</v>
      </c>
      <c r="F841" s="3237" t="s">
        <v>3662</v>
      </c>
      <c r="G841" s="3237" t="s">
        <v>3221</v>
      </c>
      <c r="H841" s="3236" t="s">
        <v>4464</v>
      </c>
      <c r="I841" s="3236">
        <v>29.09</v>
      </c>
    </row>
    <row r="842" spans="1:9" ht="11.25" hidden="1" customHeight="1" x14ac:dyDescent="0.2">
      <c r="A842" s="3237" t="s">
        <v>4475</v>
      </c>
      <c r="B842" s="3237" t="s">
        <v>4066</v>
      </c>
      <c r="C842" s="3237" t="s">
        <v>4461</v>
      </c>
      <c r="D842" s="3237" t="s">
        <v>4462</v>
      </c>
      <c r="E842" s="3237" t="s">
        <v>4476</v>
      </c>
      <c r="F842" s="3237" t="s">
        <v>3662</v>
      </c>
      <c r="G842" s="3237" t="s">
        <v>3221</v>
      </c>
      <c r="H842" s="3236" t="s">
        <v>4464</v>
      </c>
      <c r="I842" s="3236">
        <v>29.09</v>
      </c>
    </row>
    <row r="843" spans="1:9" ht="11.25" hidden="1" customHeight="1" x14ac:dyDescent="0.2">
      <c r="A843" s="3237" t="s">
        <v>4475</v>
      </c>
      <c r="B843" s="3237" t="s">
        <v>4067</v>
      </c>
      <c r="C843" s="3237" t="s">
        <v>4461</v>
      </c>
      <c r="D843" s="3237" t="s">
        <v>4462</v>
      </c>
      <c r="E843" s="3237" t="s">
        <v>4476</v>
      </c>
      <c r="F843" s="3237" t="s">
        <v>3662</v>
      </c>
      <c r="G843" s="3237" t="s">
        <v>3221</v>
      </c>
      <c r="H843" s="3236" t="s">
        <v>4464</v>
      </c>
      <c r="I843" s="3236">
        <v>29.09</v>
      </c>
    </row>
    <row r="844" spans="1:9" ht="11.25" hidden="1" customHeight="1" x14ac:dyDescent="0.2">
      <c r="A844" s="3237" t="s">
        <v>4475</v>
      </c>
      <c r="B844" s="3237" t="s">
        <v>4068</v>
      </c>
      <c r="C844" s="3237" t="s">
        <v>4461</v>
      </c>
      <c r="D844" s="3237" t="s">
        <v>4462</v>
      </c>
      <c r="E844" s="3237" t="s">
        <v>4476</v>
      </c>
      <c r="F844" s="3237" t="s">
        <v>3662</v>
      </c>
      <c r="G844" s="3237" t="s">
        <v>3221</v>
      </c>
      <c r="H844" s="3236" t="s">
        <v>4464</v>
      </c>
      <c r="I844" s="3236">
        <v>29.09</v>
      </c>
    </row>
    <row r="845" spans="1:9" ht="11.25" hidden="1" customHeight="1" x14ac:dyDescent="0.2">
      <c r="A845" s="3237" t="s">
        <v>4475</v>
      </c>
      <c r="B845" s="3237" t="s">
        <v>4069</v>
      </c>
      <c r="C845" s="3237" t="s">
        <v>4461</v>
      </c>
      <c r="D845" s="3237" t="s">
        <v>4462</v>
      </c>
      <c r="E845" s="3237" t="s">
        <v>4476</v>
      </c>
      <c r="F845" s="3237" t="s">
        <v>3662</v>
      </c>
      <c r="G845" s="3237" t="s">
        <v>3221</v>
      </c>
      <c r="H845" s="3236" t="s">
        <v>4464</v>
      </c>
      <c r="I845" s="3236">
        <v>29.09</v>
      </c>
    </row>
    <row r="846" spans="1:9" ht="11.25" hidden="1" customHeight="1" x14ac:dyDescent="0.2">
      <c r="A846" s="3237" t="s">
        <v>4475</v>
      </c>
      <c r="B846" s="3237" t="s">
        <v>4070</v>
      </c>
      <c r="C846" s="3237" t="s">
        <v>4461</v>
      </c>
      <c r="D846" s="3237" t="s">
        <v>4462</v>
      </c>
      <c r="E846" s="3237" t="s">
        <v>4476</v>
      </c>
      <c r="F846" s="3237" t="s">
        <v>3662</v>
      </c>
      <c r="G846" s="3237" t="s">
        <v>3221</v>
      </c>
      <c r="H846" s="3236" t="s">
        <v>4464</v>
      </c>
      <c r="I846" s="3236">
        <v>29.09</v>
      </c>
    </row>
    <row r="847" spans="1:9" ht="11.25" hidden="1" customHeight="1" x14ac:dyDescent="0.2">
      <c r="A847" s="3237" t="s">
        <v>4475</v>
      </c>
      <c r="B847" s="3237" t="s">
        <v>4071</v>
      </c>
      <c r="C847" s="3237" t="s">
        <v>4461</v>
      </c>
      <c r="D847" s="3237" t="s">
        <v>4462</v>
      </c>
      <c r="E847" s="3237" t="s">
        <v>4476</v>
      </c>
      <c r="F847" s="3237" t="s">
        <v>3662</v>
      </c>
      <c r="G847" s="3237" t="s">
        <v>3221</v>
      </c>
      <c r="H847" s="3236" t="s">
        <v>4464</v>
      </c>
      <c r="I847" s="3236">
        <v>29.09</v>
      </c>
    </row>
    <row r="848" spans="1:9" ht="11.25" hidden="1" customHeight="1" x14ac:dyDescent="0.2">
      <c r="A848" s="3237" t="s">
        <v>4475</v>
      </c>
      <c r="B848" s="3237" t="s">
        <v>4072</v>
      </c>
      <c r="C848" s="3237" t="s">
        <v>4461</v>
      </c>
      <c r="D848" s="3237" t="s">
        <v>4462</v>
      </c>
      <c r="E848" s="3237" t="s">
        <v>4476</v>
      </c>
      <c r="F848" s="3237" t="s">
        <v>3662</v>
      </c>
      <c r="G848" s="3237" t="s">
        <v>3221</v>
      </c>
      <c r="H848" s="3236" t="s">
        <v>4464</v>
      </c>
      <c r="I848" s="3236">
        <v>29.09</v>
      </c>
    </row>
    <row r="849" spans="1:9" ht="11.25" hidden="1" customHeight="1" x14ac:dyDescent="0.2">
      <c r="A849" s="3237" t="s">
        <v>4475</v>
      </c>
      <c r="B849" s="3237" t="s">
        <v>4073</v>
      </c>
      <c r="C849" s="3237" t="s">
        <v>4461</v>
      </c>
      <c r="D849" s="3237" t="s">
        <v>4462</v>
      </c>
      <c r="E849" s="3237" t="s">
        <v>4476</v>
      </c>
      <c r="F849" s="3237" t="s">
        <v>3662</v>
      </c>
      <c r="G849" s="3237" t="s">
        <v>3221</v>
      </c>
      <c r="H849" s="3236" t="s">
        <v>4464</v>
      </c>
      <c r="I849" s="3236">
        <v>29.09</v>
      </c>
    </row>
    <row r="850" spans="1:9" ht="11.25" hidden="1" customHeight="1" x14ac:dyDescent="0.2">
      <c r="A850" s="3237" t="s">
        <v>4475</v>
      </c>
      <c r="B850" s="3237" t="s">
        <v>4074</v>
      </c>
      <c r="C850" s="3237" t="s">
        <v>4461</v>
      </c>
      <c r="D850" s="3237" t="s">
        <v>4462</v>
      </c>
      <c r="E850" s="3237" t="s">
        <v>4476</v>
      </c>
      <c r="F850" s="3237" t="s">
        <v>3662</v>
      </c>
      <c r="G850" s="3237" t="s">
        <v>3221</v>
      </c>
      <c r="H850" s="3236" t="s">
        <v>4464</v>
      </c>
      <c r="I850" s="3236">
        <v>29.09</v>
      </c>
    </row>
    <row r="851" spans="1:9" ht="11.25" hidden="1" customHeight="1" x14ac:dyDescent="0.2">
      <c r="A851" s="3237" t="s">
        <v>4475</v>
      </c>
      <c r="B851" s="3237" t="s">
        <v>4075</v>
      </c>
      <c r="C851" s="3237" t="s">
        <v>4461</v>
      </c>
      <c r="D851" s="3237" t="s">
        <v>4462</v>
      </c>
      <c r="E851" s="3237" t="s">
        <v>4476</v>
      </c>
      <c r="F851" s="3237" t="s">
        <v>3662</v>
      </c>
      <c r="G851" s="3237" t="s">
        <v>3221</v>
      </c>
      <c r="H851" s="3236" t="s">
        <v>4464</v>
      </c>
      <c r="I851" s="3236">
        <v>29.09</v>
      </c>
    </row>
    <row r="852" spans="1:9" ht="11.25" hidden="1" customHeight="1" x14ac:dyDescent="0.2">
      <c r="A852" s="3237" t="s">
        <v>4475</v>
      </c>
      <c r="B852" s="3237" t="s">
        <v>4076</v>
      </c>
      <c r="C852" s="3237" t="s">
        <v>4461</v>
      </c>
      <c r="D852" s="3237" t="s">
        <v>4462</v>
      </c>
      <c r="E852" s="3237" t="s">
        <v>4476</v>
      </c>
      <c r="F852" s="3237" t="s">
        <v>3662</v>
      </c>
      <c r="G852" s="3237" t="s">
        <v>3221</v>
      </c>
      <c r="H852" s="3236" t="s">
        <v>4464</v>
      </c>
      <c r="I852" s="3236">
        <v>29.09</v>
      </c>
    </row>
    <row r="853" spans="1:9" ht="11.25" hidden="1" customHeight="1" x14ac:dyDescent="0.2">
      <c r="A853" s="3237" t="s">
        <v>4475</v>
      </c>
      <c r="B853" s="3237" t="s">
        <v>4077</v>
      </c>
      <c r="C853" s="3237" t="s">
        <v>4461</v>
      </c>
      <c r="D853" s="3237" t="s">
        <v>4462</v>
      </c>
      <c r="E853" s="3237" t="s">
        <v>4476</v>
      </c>
      <c r="F853" s="3237" t="s">
        <v>3662</v>
      </c>
      <c r="G853" s="3237" t="s">
        <v>3221</v>
      </c>
      <c r="H853" s="3236" t="s">
        <v>4464</v>
      </c>
      <c r="I853" s="3236">
        <v>29.09</v>
      </c>
    </row>
    <row r="854" spans="1:9" ht="11.25" hidden="1" customHeight="1" x14ac:dyDescent="0.2">
      <c r="A854" s="3237" t="s">
        <v>4475</v>
      </c>
      <c r="B854" s="3237" t="s">
        <v>4078</v>
      </c>
      <c r="C854" s="3237" t="s">
        <v>4461</v>
      </c>
      <c r="D854" s="3237" t="s">
        <v>4462</v>
      </c>
      <c r="E854" s="3237" t="s">
        <v>4476</v>
      </c>
      <c r="F854" s="3237" t="s">
        <v>3662</v>
      </c>
      <c r="G854" s="3237" t="s">
        <v>3221</v>
      </c>
      <c r="H854" s="3236" t="s">
        <v>4464</v>
      </c>
      <c r="I854" s="3236">
        <v>29.09</v>
      </c>
    </row>
    <row r="855" spans="1:9" ht="11.25" hidden="1" customHeight="1" x14ac:dyDescent="0.2">
      <c r="A855" s="3237" t="s">
        <v>4475</v>
      </c>
      <c r="B855" s="3237" t="s">
        <v>4079</v>
      </c>
      <c r="C855" s="3237" t="s">
        <v>4461</v>
      </c>
      <c r="D855" s="3237" t="s">
        <v>4462</v>
      </c>
      <c r="E855" s="3237" t="s">
        <v>4476</v>
      </c>
      <c r="F855" s="3237" t="s">
        <v>3662</v>
      </c>
      <c r="G855" s="3237" t="s">
        <v>3221</v>
      </c>
      <c r="H855" s="3236" t="s">
        <v>4464</v>
      </c>
      <c r="I855" s="3236">
        <v>29.09</v>
      </c>
    </row>
    <row r="856" spans="1:9" ht="11.25" hidden="1" customHeight="1" x14ac:dyDescent="0.2">
      <c r="A856" s="3237" t="s">
        <v>4475</v>
      </c>
      <c r="B856" s="3237" t="s">
        <v>4080</v>
      </c>
      <c r="C856" s="3237" t="s">
        <v>4461</v>
      </c>
      <c r="D856" s="3237" t="s">
        <v>4462</v>
      </c>
      <c r="E856" s="3237" t="s">
        <v>4476</v>
      </c>
      <c r="F856" s="3237" t="s">
        <v>3662</v>
      </c>
      <c r="G856" s="3237" t="s">
        <v>3221</v>
      </c>
      <c r="H856" s="3236" t="s">
        <v>4464</v>
      </c>
      <c r="I856" s="3236">
        <v>29.09</v>
      </c>
    </row>
    <row r="857" spans="1:9" ht="11.25" hidden="1" customHeight="1" x14ac:dyDescent="0.2">
      <c r="A857" s="3237" t="s">
        <v>4475</v>
      </c>
      <c r="B857" s="3237" t="s">
        <v>4081</v>
      </c>
      <c r="C857" s="3237" t="s">
        <v>4461</v>
      </c>
      <c r="D857" s="3237" t="s">
        <v>4462</v>
      </c>
      <c r="E857" s="3237" t="s">
        <v>4476</v>
      </c>
      <c r="F857" s="3237" t="s">
        <v>3662</v>
      </c>
      <c r="G857" s="3237" t="s">
        <v>3221</v>
      </c>
      <c r="H857" s="3236" t="s">
        <v>4464</v>
      </c>
      <c r="I857" s="3236">
        <v>29.09</v>
      </c>
    </row>
    <row r="858" spans="1:9" ht="11.25" hidden="1" customHeight="1" x14ac:dyDescent="0.2">
      <c r="A858" s="3237" t="s">
        <v>4475</v>
      </c>
      <c r="B858" s="3237" t="s">
        <v>4082</v>
      </c>
      <c r="C858" s="3237" t="s">
        <v>4461</v>
      </c>
      <c r="D858" s="3237" t="s">
        <v>4462</v>
      </c>
      <c r="E858" s="3237" t="s">
        <v>4476</v>
      </c>
      <c r="F858" s="3237" t="s">
        <v>3662</v>
      </c>
      <c r="G858" s="3237" t="s">
        <v>3221</v>
      </c>
      <c r="H858" s="3236" t="s">
        <v>4464</v>
      </c>
      <c r="I858" s="3236">
        <v>29.09</v>
      </c>
    </row>
    <row r="859" spans="1:9" ht="11.25" hidden="1" customHeight="1" x14ac:dyDescent="0.2">
      <c r="A859" s="3237" t="s">
        <v>4475</v>
      </c>
      <c r="B859" s="3237" t="s">
        <v>4083</v>
      </c>
      <c r="C859" s="3237" t="s">
        <v>4461</v>
      </c>
      <c r="D859" s="3237" t="s">
        <v>4462</v>
      </c>
      <c r="E859" s="3237" t="s">
        <v>4476</v>
      </c>
      <c r="F859" s="3237" t="s">
        <v>3662</v>
      </c>
      <c r="G859" s="3237" t="s">
        <v>3221</v>
      </c>
      <c r="H859" s="3236" t="s">
        <v>4464</v>
      </c>
      <c r="I859" s="3236">
        <v>29.09</v>
      </c>
    </row>
    <row r="860" spans="1:9" ht="11.25" hidden="1" customHeight="1" x14ac:dyDescent="0.2">
      <c r="A860" s="3237" t="s">
        <v>4475</v>
      </c>
      <c r="B860" s="3237" t="s">
        <v>4084</v>
      </c>
      <c r="C860" s="3237" t="s">
        <v>4461</v>
      </c>
      <c r="D860" s="3237" t="s">
        <v>4462</v>
      </c>
      <c r="E860" s="3237" t="s">
        <v>4476</v>
      </c>
      <c r="F860" s="3237" t="s">
        <v>3662</v>
      </c>
      <c r="G860" s="3237" t="s">
        <v>3221</v>
      </c>
      <c r="H860" s="3236" t="s">
        <v>4464</v>
      </c>
      <c r="I860" s="3236">
        <v>29.09</v>
      </c>
    </row>
    <row r="861" spans="1:9" ht="11.25" hidden="1" customHeight="1" x14ac:dyDescent="0.2">
      <c r="A861" s="3237" t="s">
        <v>4475</v>
      </c>
      <c r="B861" s="3237" t="s">
        <v>4085</v>
      </c>
      <c r="C861" s="3237" t="s">
        <v>4461</v>
      </c>
      <c r="D861" s="3237" t="s">
        <v>4462</v>
      </c>
      <c r="E861" s="3237" t="s">
        <v>4476</v>
      </c>
      <c r="F861" s="3237" t="s">
        <v>3662</v>
      </c>
      <c r="G861" s="3237" t="s">
        <v>3221</v>
      </c>
      <c r="H861" s="3236" t="s">
        <v>4464</v>
      </c>
      <c r="I861" s="3236">
        <v>29.09</v>
      </c>
    </row>
    <row r="862" spans="1:9" ht="11.25" hidden="1" customHeight="1" x14ac:dyDescent="0.2">
      <c r="A862" s="3237" t="s">
        <v>4475</v>
      </c>
      <c r="B862" s="3237" t="s">
        <v>4086</v>
      </c>
      <c r="C862" s="3237" t="s">
        <v>4461</v>
      </c>
      <c r="D862" s="3237" t="s">
        <v>4462</v>
      </c>
      <c r="E862" s="3237" t="s">
        <v>4476</v>
      </c>
      <c r="F862" s="3237" t="s">
        <v>3662</v>
      </c>
      <c r="G862" s="3237" t="s">
        <v>3221</v>
      </c>
      <c r="H862" s="3236" t="s">
        <v>4464</v>
      </c>
      <c r="I862" s="3236">
        <v>29.09</v>
      </c>
    </row>
    <row r="863" spans="1:9" ht="11.25" hidden="1" customHeight="1" x14ac:dyDescent="0.2">
      <c r="A863" s="3237" t="s">
        <v>4475</v>
      </c>
      <c r="B863" s="3237" t="s">
        <v>4087</v>
      </c>
      <c r="C863" s="3237" t="s">
        <v>4461</v>
      </c>
      <c r="D863" s="3237" t="s">
        <v>4462</v>
      </c>
      <c r="E863" s="3237" t="s">
        <v>4476</v>
      </c>
      <c r="F863" s="3237" t="s">
        <v>3662</v>
      </c>
      <c r="G863" s="3237" t="s">
        <v>3221</v>
      </c>
      <c r="H863" s="3236" t="s">
        <v>4464</v>
      </c>
      <c r="I863" s="3236">
        <v>29.09</v>
      </c>
    </row>
    <row r="864" spans="1:9" ht="11.25" hidden="1" customHeight="1" x14ac:dyDescent="0.2">
      <c r="A864" s="3237" t="s">
        <v>4475</v>
      </c>
      <c r="B864" s="3237" t="s">
        <v>4088</v>
      </c>
      <c r="C864" s="3237" t="s">
        <v>4461</v>
      </c>
      <c r="D864" s="3237" t="s">
        <v>4462</v>
      </c>
      <c r="E864" s="3237" t="s">
        <v>4476</v>
      </c>
      <c r="F864" s="3237" t="s">
        <v>3662</v>
      </c>
      <c r="G864" s="3237" t="s">
        <v>3221</v>
      </c>
      <c r="H864" s="3236" t="s">
        <v>4464</v>
      </c>
      <c r="I864" s="3236">
        <v>29.09</v>
      </c>
    </row>
    <row r="865" spans="1:9" ht="11.25" hidden="1" customHeight="1" x14ac:dyDescent="0.2">
      <c r="A865" s="3237" t="s">
        <v>4475</v>
      </c>
      <c r="B865" s="3237" t="s">
        <v>4089</v>
      </c>
      <c r="C865" s="3237" t="s">
        <v>4461</v>
      </c>
      <c r="D865" s="3237" t="s">
        <v>4462</v>
      </c>
      <c r="E865" s="3237" t="s">
        <v>4476</v>
      </c>
      <c r="F865" s="3237" t="s">
        <v>3662</v>
      </c>
      <c r="G865" s="3237" t="s">
        <v>3221</v>
      </c>
      <c r="H865" s="3236" t="s">
        <v>4464</v>
      </c>
      <c r="I865" s="3236">
        <v>29.09</v>
      </c>
    </row>
    <row r="866" spans="1:9" ht="11.25" hidden="1" customHeight="1" x14ac:dyDescent="0.2">
      <c r="A866" s="3237" t="s">
        <v>4475</v>
      </c>
      <c r="B866" s="3237" t="s">
        <v>4090</v>
      </c>
      <c r="C866" s="3237" t="s">
        <v>4461</v>
      </c>
      <c r="D866" s="3237" t="s">
        <v>4462</v>
      </c>
      <c r="E866" s="3237" t="s">
        <v>4476</v>
      </c>
      <c r="F866" s="3237" t="s">
        <v>3662</v>
      </c>
      <c r="G866" s="3237" t="s">
        <v>3221</v>
      </c>
      <c r="H866" s="3236" t="s">
        <v>4464</v>
      </c>
      <c r="I866" s="3236">
        <v>29.09</v>
      </c>
    </row>
    <row r="867" spans="1:9" ht="11.25" hidden="1" customHeight="1" x14ac:dyDescent="0.2">
      <c r="A867" s="3237" t="s">
        <v>4475</v>
      </c>
      <c r="B867" s="3237" t="s">
        <v>4091</v>
      </c>
      <c r="C867" s="3237" t="s">
        <v>4461</v>
      </c>
      <c r="D867" s="3237" t="s">
        <v>4462</v>
      </c>
      <c r="E867" s="3237" t="s">
        <v>4476</v>
      </c>
      <c r="F867" s="3237" t="s">
        <v>3662</v>
      </c>
      <c r="G867" s="3237" t="s">
        <v>3221</v>
      </c>
      <c r="H867" s="3236" t="s">
        <v>4464</v>
      </c>
      <c r="I867" s="3236">
        <v>29.09</v>
      </c>
    </row>
    <row r="868" spans="1:9" ht="11.25" hidden="1" customHeight="1" x14ac:dyDescent="0.2">
      <c r="A868" s="3237" t="s">
        <v>4475</v>
      </c>
      <c r="B868" s="3237" t="s">
        <v>4092</v>
      </c>
      <c r="C868" s="3237" t="s">
        <v>4461</v>
      </c>
      <c r="D868" s="3237" t="s">
        <v>4462</v>
      </c>
      <c r="E868" s="3237" t="s">
        <v>4476</v>
      </c>
      <c r="F868" s="3237" t="s">
        <v>3662</v>
      </c>
      <c r="G868" s="3237" t="s">
        <v>3221</v>
      </c>
      <c r="H868" s="3236" t="s">
        <v>4464</v>
      </c>
      <c r="I868" s="3236">
        <v>29.09</v>
      </c>
    </row>
    <row r="869" spans="1:9" ht="11.25" hidden="1" customHeight="1" x14ac:dyDescent="0.2">
      <c r="A869" s="3237" t="s">
        <v>4475</v>
      </c>
      <c r="B869" s="3237" t="s">
        <v>4093</v>
      </c>
      <c r="C869" s="3237" t="s">
        <v>4461</v>
      </c>
      <c r="D869" s="3237" t="s">
        <v>4462</v>
      </c>
      <c r="E869" s="3237" t="s">
        <v>4476</v>
      </c>
      <c r="F869" s="3237" t="s">
        <v>3662</v>
      </c>
      <c r="G869" s="3237" t="s">
        <v>3221</v>
      </c>
      <c r="H869" s="3236" t="s">
        <v>4464</v>
      </c>
      <c r="I869" s="3236">
        <v>29.09</v>
      </c>
    </row>
    <row r="870" spans="1:9" ht="11.25" hidden="1" customHeight="1" x14ac:dyDescent="0.2">
      <c r="A870" s="3237" t="s">
        <v>4475</v>
      </c>
      <c r="B870" s="3237" t="s">
        <v>4094</v>
      </c>
      <c r="C870" s="3237" t="s">
        <v>4461</v>
      </c>
      <c r="D870" s="3237" t="s">
        <v>4462</v>
      </c>
      <c r="E870" s="3237" t="s">
        <v>4476</v>
      </c>
      <c r="F870" s="3237" t="s">
        <v>3662</v>
      </c>
      <c r="G870" s="3237" t="s">
        <v>3221</v>
      </c>
      <c r="H870" s="3236" t="s">
        <v>4464</v>
      </c>
      <c r="I870" s="3236">
        <v>29.09</v>
      </c>
    </row>
    <row r="871" spans="1:9" ht="11.25" hidden="1" customHeight="1" x14ac:dyDescent="0.2">
      <c r="A871" s="3237" t="s">
        <v>4475</v>
      </c>
      <c r="B871" s="3237" t="s">
        <v>4095</v>
      </c>
      <c r="C871" s="3237" t="s">
        <v>4461</v>
      </c>
      <c r="D871" s="3237" t="s">
        <v>4462</v>
      </c>
      <c r="E871" s="3237" t="s">
        <v>4476</v>
      </c>
      <c r="F871" s="3237" t="s">
        <v>3662</v>
      </c>
      <c r="G871" s="3237" t="s">
        <v>3221</v>
      </c>
      <c r="H871" s="3236" t="s">
        <v>4464</v>
      </c>
      <c r="I871" s="3236">
        <v>29.09</v>
      </c>
    </row>
    <row r="872" spans="1:9" ht="11.25" hidden="1" customHeight="1" x14ac:dyDescent="0.2">
      <c r="A872" s="3237" t="s">
        <v>4475</v>
      </c>
      <c r="B872" s="3237" t="s">
        <v>4096</v>
      </c>
      <c r="C872" s="3237" t="s">
        <v>4461</v>
      </c>
      <c r="D872" s="3237" t="s">
        <v>4462</v>
      </c>
      <c r="E872" s="3237" t="s">
        <v>4476</v>
      </c>
      <c r="F872" s="3237" t="s">
        <v>3662</v>
      </c>
      <c r="G872" s="3237" t="s">
        <v>3221</v>
      </c>
      <c r="H872" s="3236" t="s">
        <v>4464</v>
      </c>
      <c r="I872" s="3236">
        <v>29.09</v>
      </c>
    </row>
    <row r="873" spans="1:9" ht="11.25" hidden="1" customHeight="1" x14ac:dyDescent="0.2">
      <c r="A873" s="3237" t="s">
        <v>4475</v>
      </c>
      <c r="B873" s="3237" t="s">
        <v>4097</v>
      </c>
      <c r="C873" s="3237" t="s">
        <v>4461</v>
      </c>
      <c r="D873" s="3237" t="s">
        <v>4462</v>
      </c>
      <c r="E873" s="3237" t="s">
        <v>4476</v>
      </c>
      <c r="F873" s="3237" t="s">
        <v>3662</v>
      </c>
      <c r="G873" s="3237" t="s">
        <v>3221</v>
      </c>
      <c r="H873" s="3236" t="s">
        <v>4464</v>
      </c>
      <c r="I873" s="3236">
        <v>29.09</v>
      </c>
    </row>
    <row r="874" spans="1:9" ht="11.25" hidden="1" customHeight="1" x14ac:dyDescent="0.2">
      <c r="A874" s="3237" t="s">
        <v>4475</v>
      </c>
      <c r="B874" s="3237" t="s">
        <v>4098</v>
      </c>
      <c r="C874" s="3237" t="s">
        <v>4461</v>
      </c>
      <c r="D874" s="3237" t="s">
        <v>4462</v>
      </c>
      <c r="E874" s="3237" t="s">
        <v>4476</v>
      </c>
      <c r="F874" s="3237" t="s">
        <v>3662</v>
      </c>
      <c r="G874" s="3237" t="s">
        <v>3221</v>
      </c>
      <c r="H874" s="3236" t="s">
        <v>4464</v>
      </c>
      <c r="I874" s="3236">
        <v>29.09</v>
      </c>
    </row>
    <row r="875" spans="1:9" ht="11.25" hidden="1" customHeight="1" x14ac:dyDescent="0.2">
      <c r="A875" s="3237" t="s">
        <v>4475</v>
      </c>
      <c r="B875" s="3237" t="s">
        <v>4099</v>
      </c>
      <c r="C875" s="3237" t="s">
        <v>4461</v>
      </c>
      <c r="D875" s="3237" t="s">
        <v>4462</v>
      </c>
      <c r="E875" s="3237" t="s">
        <v>4476</v>
      </c>
      <c r="F875" s="3237" t="s">
        <v>3662</v>
      </c>
      <c r="G875" s="3237" t="s">
        <v>3221</v>
      </c>
      <c r="H875" s="3236" t="s">
        <v>4464</v>
      </c>
      <c r="I875" s="3236">
        <v>29.09</v>
      </c>
    </row>
    <row r="876" spans="1:9" ht="11.25" hidden="1" customHeight="1" x14ac:dyDescent="0.2">
      <c r="A876" s="3237" t="s">
        <v>4475</v>
      </c>
      <c r="B876" s="3237" t="s">
        <v>4100</v>
      </c>
      <c r="C876" s="3237" t="s">
        <v>4461</v>
      </c>
      <c r="D876" s="3237" t="s">
        <v>4462</v>
      </c>
      <c r="E876" s="3237" t="s">
        <v>4476</v>
      </c>
      <c r="F876" s="3237" t="s">
        <v>3662</v>
      </c>
      <c r="G876" s="3237" t="s">
        <v>3221</v>
      </c>
      <c r="H876" s="3236" t="s">
        <v>4464</v>
      </c>
      <c r="I876" s="3236">
        <v>29.09</v>
      </c>
    </row>
    <row r="877" spans="1:9" ht="11.25" hidden="1" customHeight="1" x14ac:dyDescent="0.2">
      <c r="A877" s="3237" t="s">
        <v>4475</v>
      </c>
      <c r="B877" s="3237" t="s">
        <v>4101</v>
      </c>
      <c r="C877" s="3237" t="s">
        <v>4461</v>
      </c>
      <c r="D877" s="3237" t="s">
        <v>4462</v>
      </c>
      <c r="E877" s="3237" t="s">
        <v>4476</v>
      </c>
      <c r="F877" s="3237" t="s">
        <v>3662</v>
      </c>
      <c r="G877" s="3237" t="s">
        <v>3221</v>
      </c>
      <c r="H877" s="3236" t="s">
        <v>4464</v>
      </c>
      <c r="I877" s="3236">
        <v>29.09</v>
      </c>
    </row>
    <row r="878" spans="1:9" ht="11.25" hidden="1" customHeight="1" x14ac:dyDescent="0.2">
      <c r="A878" s="3237" t="s">
        <v>4475</v>
      </c>
      <c r="B878" s="3237" t="s">
        <v>4102</v>
      </c>
      <c r="C878" s="3237" t="s">
        <v>4461</v>
      </c>
      <c r="D878" s="3237" t="s">
        <v>4462</v>
      </c>
      <c r="E878" s="3237" t="s">
        <v>4476</v>
      </c>
      <c r="F878" s="3237" t="s">
        <v>3662</v>
      </c>
      <c r="G878" s="3237" t="s">
        <v>3221</v>
      </c>
      <c r="H878" s="3236" t="s">
        <v>4464</v>
      </c>
      <c r="I878" s="3236">
        <v>29.09</v>
      </c>
    </row>
    <row r="879" spans="1:9" ht="11.25" hidden="1" customHeight="1" x14ac:dyDescent="0.2">
      <c r="A879" s="3237" t="s">
        <v>4475</v>
      </c>
      <c r="B879" s="3237" t="s">
        <v>4103</v>
      </c>
      <c r="C879" s="3237" t="s">
        <v>4461</v>
      </c>
      <c r="D879" s="3237" t="s">
        <v>4462</v>
      </c>
      <c r="E879" s="3237" t="s">
        <v>4476</v>
      </c>
      <c r="F879" s="3237" t="s">
        <v>3662</v>
      </c>
      <c r="G879" s="3237" t="s">
        <v>3221</v>
      </c>
      <c r="H879" s="3236" t="s">
        <v>4464</v>
      </c>
      <c r="I879" s="3236">
        <v>29.09</v>
      </c>
    </row>
    <row r="880" spans="1:9" ht="11.25" hidden="1" customHeight="1" x14ac:dyDescent="0.2">
      <c r="A880" s="3237" t="s">
        <v>4475</v>
      </c>
      <c r="B880" s="3237" t="s">
        <v>4104</v>
      </c>
      <c r="C880" s="3237" t="s">
        <v>4461</v>
      </c>
      <c r="D880" s="3237" t="s">
        <v>4462</v>
      </c>
      <c r="E880" s="3237" t="s">
        <v>4476</v>
      </c>
      <c r="F880" s="3237" t="s">
        <v>3662</v>
      </c>
      <c r="G880" s="3237" t="s">
        <v>3221</v>
      </c>
      <c r="H880" s="3236" t="s">
        <v>4464</v>
      </c>
      <c r="I880" s="3236">
        <v>29.09</v>
      </c>
    </row>
    <row r="881" spans="1:9" ht="11.25" hidden="1" customHeight="1" x14ac:dyDescent="0.2">
      <c r="A881" s="3237" t="s">
        <v>4475</v>
      </c>
      <c r="B881" s="3237" t="s">
        <v>4105</v>
      </c>
      <c r="C881" s="3237" t="s">
        <v>4461</v>
      </c>
      <c r="D881" s="3237" t="s">
        <v>4462</v>
      </c>
      <c r="E881" s="3237" t="s">
        <v>4476</v>
      </c>
      <c r="F881" s="3237" t="s">
        <v>3662</v>
      </c>
      <c r="G881" s="3237" t="s">
        <v>3221</v>
      </c>
      <c r="H881" s="3236" t="s">
        <v>4464</v>
      </c>
      <c r="I881" s="3236">
        <v>29.09</v>
      </c>
    </row>
    <row r="882" spans="1:9" ht="11.25" hidden="1" customHeight="1" x14ac:dyDescent="0.2">
      <c r="A882" s="3237" t="s">
        <v>4475</v>
      </c>
      <c r="B882" s="3237" t="s">
        <v>4106</v>
      </c>
      <c r="C882" s="3237" t="s">
        <v>4461</v>
      </c>
      <c r="D882" s="3237" t="s">
        <v>4462</v>
      </c>
      <c r="E882" s="3237" t="s">
        <v>4476</v>
      </c>
      <c r="F882" s="3237" t="s">
        <v>3662</v>
      </c>
      <c r="G882" s="3237" t="s">
        <v>3221</v>
      </c>
      <c r="H882" s="3236" t="s">
        <v>4464</v>
      </c>
      <c r="I882" s="3236">
        <v>29.09</v>
      </c>
    </row>
    <row r="883" spans="1:9" ht="11.25" hidden="1" customHeight="1" x14ac:dyDescent="0.2">
      <c r="A883" s="3237" t="s">
        <v>4475</v>
      </c>
      <c r="B883" s="3237" t="s">
        <v>4107</v>
      </c>
      <c r="C883" s="3237" t="s">
        <v>4461</v>
      </c>
      <c r="D883" s="3237" t="s">
        <v>4462</v>
      </c>
      <c r="E883" s="3237" t="s">
        <v>4476</v>
      </c>
      <c r="F883" s="3237" t="s">
        <v>3662</v>
      </c>
      <c r="G883" s="3237" t="s">
        <v>3221</v>
      </c>
      <c r="H883" s="3236" t="s">
        <v>4464</v>
      </c>
      <c r="I883" s="3236">
        <v>29.09</v>
      </c>
    </row>
    <row r="884" spans="1:9" ht="11.25" hidden="1" customHeight="1" x14ac:dyDescent="0.2">
      <c r="A884" s="3237" t="s">
        <v>4475</v>
      </c>
      <c r="B884" s="3237" t="s">
        <v>4108</v>
      </c>
      <c r="C884" s="3237" t="s">
        <v>4461</v>
      </c>
      <c r="D884" s="3237" t="s">
        <v>4462</v>
      </c>
      <c r="E884" s="3237" t="s">
        <v>4476</v>
      </c>
      <c r="F884" s="3237" t="s">
        <v>3662</v>
      </c>
      <c r="G884" s="3237" t="s">
        <v>3221</v>
      </c>
      <c r="H884" s="3236" t="s">
        <v>4464</v>
      </c>
      <c r="I884" s="3236">
        <v>29.09</v>
      </c>
    </row>
    <row r="885" spans="1:9" ht="11.25" hidden="1" customHeight="1" x14ac:dyDescent="0.2">
      <c r="A885" s="3237" t="s">
        <v>4475</v>
      </c>
      <c r="B885" s="3237" t="s">
        <v>4109</v>
      </c>
      <c r="C885" s="3237" t="s">
        <v>4461</v>
      </c>
      <c r="D885" s="3237" t="s">
        <v>4462</v>
      </c>
      <c r="E885" s="3237" t="s">
        <v>4476</v>
      </c>
      <c r="F885" s="3237" t="s">
        <v>3662</v>
      </c>
      <c r="G885" s="3237" t="s">
        <v>3221</v>
      </c>
      <c r="H885" s="3236" t="s">
        <v>4464</v>
      </c>
      <c r="I885" s="3236">
        <v>29.09</v>
      </c>
    </row>
    <row r="886" spans="1:9" ht="11.25" hidden="1" customHeight="1" x14ac:dyDescent="0.2">
      <c r="A886" s="3237" t="s">
        <v>4475</v>
      </c>
      <c r="B886" s="3237" t="s">
        <v>4110</v>
      </c>
      <c r="C886" s="3237" t="s">
        <v>4461</v>
      </c>
      <c r="D886" s="3237" t="s">
        <v>4462</v>
      </c>
      <c r="E886" s="3237" t="s">
        <v>4476</v>
      </c>
      <c r="F886" s="3237" t="s">
        <v>3662</v>
      </c>
      <c r="G886" s="3237" t="s">
        <v>3221</v>
      </c>
      <c r="H886" s="3236" t="s">
        <v>4464</v>
      </c>
      <c r="I886" s="3236">
        <v>29.09</v>
      </c>
    </row>
    <row r="887" spans="1:9" ht="11.25" hidden="1" customHeight="1" x14ac:dyDescent="0.2">
      <c r="A887" s="3237" t="s">
        <v>4475</v>
      </c>
      <c r="B887" s="3237" t="s">
        <v>4111</v>
      </c>
      <c r="C887" s="3237" t="s">
        <v>4461</v>
      </c>
      <c r="D887" s="3237" t="s">
        <v>4462</v>
      </c>
      <c r="E887" s="3237" t="s">
        <v>4476</v>
      </c>
      <c r="F887" s="3237" t="s">
        <v>3662</v>
      </c>
      <c r="G887" s="3237" t="s">
        <v>3221</v>
      </c>
      <c r="H887" s="3236" t="s">
        <v>4464</v>
      </c>
      <c r="I887" s="3236">
        <v>29.09</v>
      </c>
    </row>
    <row r="888" spans="1:9" ht="11.25" hidden="1" customHeight="1" x14ac:dyDescent="0.2">
      <c r="A888" s="3237" t="s">
        <v>4475</v>
      </c>
      <c r="B888" s="3237" t="s">
        <v>4112</v>
      </c>
      <c r="C888" s="3237" t="s">
        <v>4461</v>
      </c>
      <c r="D888" s="3237" t="s">
        <v>4462</v>
      </c>
      <c r="E888" s="3237" t="s">
        <v>4476</v>
      </c>
      <c r="F888" s="3237" t="s">
        <v>3662</v>
      </c>
      <c r="G888" s="3237" t="s">
        <v>3221</v>
      </c>
      <c r="H888" s="3236" t="s">
        <v>4464</v>
      </c>
      <c r="I888" s="3236">
        <v>29.09</v>
      </c>
    </row>
    <row r="889" spans="1:9" ht="11.25" hidden="1" customHeight="1" x14ac:dyDescent="0.2">
      <c r="A889" s="3237" t="s">
        <v>4475</v>
      </c>
      <c r="B889" s="3237" t="s">
        <v>4113</v>
      </c>
      <c r="C889" s="3237" t="s">
        <v>4461</v>
      </c>
      <c r="D889" s="3237" t="s">
        <v>4462</v>
      </c>
      <c r="E889" s="3237" t="s">
        <v>4476</v>
      </c>
      <c r="F889" s="3237" t="s">
        <v>3662</v>
      </c>
      <c r="G889" s="3237" t="s">
        <v>3221</v>
      </c>
      <c r="H889" s="3236" t="s">
        <v>4464</v>
      </c>
      <c r="I889" s="3236">
        <v>29.09</v>
      </c>
    </row>
    <row r="890" spans="1:9" ht="11.25" hidden="1" customHeight="1" x14ac:dyDescent="0.2">
      <c r="A890" s="3237" t="s">
        <v>4475</v>
      </c>
      <c r="B890" s="3237" t="s">
        <v>4114</v>
      </c>
      <c r="C890" s="3237" t="s">
        <v>4461</v>
      </c>
      <c r="D890" s="3237" t="s">
        <v>4462</v>
      </c>
      <c r="E890" s="3237" t="s">
        <v>4476</v>
      </c>
      <c r="F890" s="3237" t="s">
        <v>3662</v>
      </c>
      <c r="G890" s="3237" t="s">
        <v>3221</v>
      </c>
      <c r="H890" s="3236" t="s">
        <v>4464</v>
      </c>
      <c r="I890" s="3236">
        <v>29.09</v>
      </c>
    </row>
    <row r="891" spans="1:9" ht="11.25" hidden="1" customHeight="1" x14ac:dyDescent="0.2">
      <c r="A891" s="3237" t="s">
        <v>4475</v>
      </c>
      <c r="B891" s="3237" t="s">
        <v>4115</v>
      </c>
      <c r="C891" s="3237" t="s">
        <v>4461</v>
      </c>
      <c r="D891" s="3237" t="s">
        <v>4462</v>
      </c>
      <c r="E891" s="3237" t="s">
        <v>4476</v>
      </c>
      <c r="F891" s="3237" t="s">
        <v>3662</v>
      </c>
      <c r="G891" s="3237" t="s">
        <v>3221</v>
      </c>
      <c r="H891" s="3236" t="s">
        <v>4464</v>
      </c>
      <c r="I891" s="3236">
        <v>29.09</v>
      </c>
    </row>
    <row r="892" spans="1:9" ht="11.25" hidden="1" customHeight="1" x14ac:dyDescent="0.2">
      <c r="A892" s="3237" t="s">
        <v>4475</v>
      </c>
      <c r="B892" s="3237" t="s">
        <v>4116</v>
      </c>
      <c r="C892" s="3237" t="s">
        <v>4461</v>
      </c>
      <c r="D892" s="3237" t="s">
        <v>4462</v>
      </c>
      <c r="E892" s="3237" t="s">
        <v>4476</v>
      </c>
      <c r="F892" s="3237" t="s">
        <v>3662</v>
      </c>
      <c r="G892" s="3237" t="s">
        <v>3221</v>
      </c>
      <c r="H892" s="3236" t="s">
        <v>4464</v>
      </c>
      <c r="I892" s="3236">
        <v>29.09</v>
      </c>
    </row>
    <row r="893" spans="1:9" ht="11.25" hidden="1" customHeight="1" x14ac:dyDescent="0.2">
      <c r="A893" s="3237" t="s">
        <v>4475</v>
      </c>
      <c r="B893" s="3237" t="s">
        <v>4117</v>
      </c>
      <c r="C893" s="3237" t="s">
        <v>4461</v>
      </c>
      <c r="D893" s="3237" t="s">
        <v>4462</v>
      </c>
      <c r="E893" s="3237" t="s">
        <v>4476</v>
      </c>
      <c r="F893" s="3237" t="s">
        <v>3662</v>
      </c>
      <c r="G893" s="3237" t="s">
        <v>3221</v>
      </c>
      <c r="H893" s="3236" t="s">
        <v>4464</v>
      </c>
      <c r="I893" s="3236">
        <v>29.09</v>
      </c>
    </row>
    <row r="894" spans="1:9" ht="11.25" hidden="1" customHeight="1" x14ac:dyDescent="0.2">
      <c r="A894" s="3237" t="s">
        <v>4475</v>
      </c>
      <c r="B894" s="3237" t="s">
        <v>4118</v>
      </c>
      <c r="C894" s="3237" t="s">
        <v>4461</v>
      </c>
      <c r="D894" s="3237" t="s">
        <v>4462</v>
      </c>
      <c r="E894" s="3237" t="s">
        <v>4476</v>
      </c>
      <c r="F894" s="3237" t="s">
        <v>3662</v>
      </c>
      <c r="G894" s="3237" t="s">
        <v>3221</v>
      </c>
      <c r="H894" s="3236" t="s">
        <v>4464</v>
      </c>
      <c r="I894" s="3236">
        <v>29.09</v>
      </c>
    </row>
    <row r="895" spans="1:9" ht="11.25" hidden="1" customHeight="1" x14ac:dyDescent="0.2">
      <c r="A895" s="3237" t="s">
        <v>4475</v>
      </c>
      <c r="B895" s="3237" t="s">
        <v>4119</v>
      </c>
      <c r="C895" s="3237" t="s">
        <v>4461</v>
      </c>
      <c r="D895" s="3237" t="s">
        <v>4462</v>
      </c>
      <c r="E895" s="3237" t="s">
        <v>4476</v>
      </c>
      <c r="F895" s="3237" t="s">
        <v>3662</v>
      </c>
      <c r="G895" s="3237" t="s">
        <v>3221</v>
      </c>
      <c r="H895" s="3236" t="s">
        <v>4464</v>
      </c>
      <c r="I895" s="3236">
        <v>29.09</v>
      </c>
    </row>
    <row r="896" spans="1:9" ht="11.25" hidden="1" customHeight="1" x14ac:dyDescent="0.2">
      <c r="A896" s="3237" t="s">
        <v>4475</v>
      </c>
      <c r="B896" s="3237" t="s">
        <v>4120</v>
      </c>
      <c r="C896" s="3237" t="s">
        <v>4461</v>
      </c>
      <c r="D896" s="3237" t="s">
        <v>4462</v>
      </c>
      <c r="E896" s="3237" t="s">
        <v>4476</v>
      </c>
      <c r="F896" s="3237" t="s">
        <v>3662</v>
      </c>
      <c r="G896" s="3237" t="s">
        <v>3221</v>
      </c>
      <c r="H896" s="3236" t="s">
        <v>4464</v>
      </c>
      <c r="I896" s="3236">
        <v>29.09</v>
      </c>
    </row>
    <row r="897" spans="1:9" ht="11.25" hidden="1" customHeight="1" x14ac:dyDescent="0.2">
      <c r="A897" s="3237" t="s">
        <v>4475</v>
      </c>
      <c r="B897" s="3237" t="s">
        <v>4121</v>
      </c>
      <c r="C897" s="3237" t="s">
        <v>4461</v>
      </c>
      <c r="D897" s="3237" t="s">
        <v>4462</v>
      </c>
      <c r="E897" s="3237" t="s">
        <v>4476</v>
      </c>
      <c r="F897" s="3237" t="s">
        <v>3662</v>
      </c>
      <c r="G897" s="3237" t="s">
        <v>3221</v>
      </c>
      <c r="H897" s="3236" t="s">
        <v>4464</v>
      </c>
      <c r="I897" s="3236">
        <v>29.09</v>
      </c>
    </row>
    <row r="898" spans="1:9" ht="11.25" hidden="1" customHeight="1" x14ac:dyDescent="0.2">
      <c r="A898" s="3237" t="s">
        <v>4475</v>
      </c>
      <c r="B898" s="3237" t="s">
        <v>4122</v>
      </c>
      <c r="C898" s="3237" t="s">
        <v>4461</v>
      </c>
      <c r="D898" s="3237" t="s">
        <v>4462</v>
      </c>
      <c r="E898" s="3237" t="s">
        <v>4476</v>
      </c>
      <c r="F898" s="3237" t="s">
        <v>3662</v>
      </c>
      <c r="G898" s="3237" t="s">
        <v>3221</v>
      </c>
      <c r="H898" s="3236" t="s">
        <v>4464</v>
      </c>
      <c r="I898" s="3236">
        <v>29.09</v>
      </c>
    </row>
    <row r="899" spans="1:9" ht="11.25" hidden="1" customHeight="1" x14ac:dyDescent="0.2">
      <c r="A899" s="3237" t="s">
        <v>4475</v>
      </c>
      <c r="B899" s="3237" t="s">
        <v>4123</v>
      </c>
      <c r="C899" s="3237" t="s">
        <v>4461</v>
      </c>
      <c r="D899" s="3237" t="s">
        <v>4462</v>
      </c>
      <c r="E899" s="3237" t="s">
        <v>4476</v>
      </c>
      <c r="F899" s="3237" t="s">
        <v>3662</v>
      </c>
      <c r="G899" s="3237" t="s">
        <v>3221</v>
      </c>
      <c r="H899" s="3236" t="s">
        <v>4464</v>
      </c>
      <c r="I899" s="3236">
        <v>29.09</v>
      </c>
    </row>
    <row r="900" spans="1:9" ht="11.25" hidden="1" customHeight="1" x14ac:dyDescent="0.2">
      <c r="A900" s="3237" t="s">
        <v>4475</v>
      </c>
      <c r="B900" s="3237" t="s">
        <v>4124</v>
      </c>
      <c r="C900" s="3237" t="s">
        <v>4461</v>
      </c>
      <c r="D900" s="3237" t="s">
        <v>4462</v>
      </c>
      <c r="E900" s="3237" t="s">
        <v>4476</v>
      </c>
      <c r="F900" s="3237" t="s">
        <v>3662</v>
      </c>
      <c r="G900" s="3237" t="s">
        <v>3221</v>
      </c>
      <c r="H900" s="3236" t="s">
        <v>4464</v>
      </c>
      <c r="I900" s="3236">
        <v>29.09</v>
      </c>
    </row>
    <row r="901" spans="1:9" ht="11.25" hidden="1" customHeight="1" x14ac:dyDescent="0.2">
      <c r="A901" s="3237" t="s">
        <v>4475</v>
      </c>
      <c r="B901" s="3237" t="s">
        <v>4125</v>
      </c>
      <c r="C901" s="3237" t="s">
        <v>4461</v>
      </c>
      <c r="D901" s="3237" t="s">
        <v>4462</v>
      </c>
      <c r="E901" s="3237" t="s">
        <v>4476</v>
      </c>
      <c r="F901" s="3237" t="s">
        <v>3662</v>
      </c>
      <c r="G901" s="3237" t="s">
        <v>3221</v>
      </c>
      <c r="H901" s="3236" t="s">
        <v>4464</v>
      </c>
      <c r="I901" s="3236">
        <v>29.09</v>
      </c>
    </row>
    <row r="902" spans="1:9" ht="11.25" hidden="1" customHeight="1" x14ac:dyDescent="0.2">
      <c r="A902" s="3237" t="s">
        <v>4475</v>
      </c>
      <c r="B902" s="3237" t="s">
        <v>4126</v>
      </c>
      <c r="C902" s="3237" t="s">
        <v>4461</v>
      </c>
      <c r="D902" s="3237" t="s">
        <v>4462</v>
      </c>
      <c r="E902" s="3237" t="s">
        <v>4476</v>
      </c>
      <c r="F902" s="3237" t="s">
        <v>3662</v>
      </c>
      <c r="G902" s="3237" t="s">
        <v>3221</v>
      </c>
      <c r="H902" s="3236" t="s">
        <v>4464</v>
      </c>
      <c r="I902" s="3236">
        <v>29.09</v>
      </c>
    </row>
    <row r="903" spans="1:9" ht="11.25" hidden="1" customHeight="1" x14ac:dyDescent="0.2">
      <c r="A903" s="3237" t="s">
        <v>4475</v>
      </c>
      <c r="B903" s="3237" t="s">
        <v>4127</v>
      </c>
      <c r="C903" s="3237" t="s">
        <v>4461</v>
      </c>
      <c r="D903" s="3237" t="s">
        <v>4462</v>
      </c>
      <c r="E903" s="3237" t="s">
        <v>4476</v>
      </c>
      <c r="F903" s="3237" t="s">
        <v>3662</v>
      </c>
      <c r="G903" s="3237" t="s">
        <v>3221</v>
      </c>
      <c r="H903" s="3236" t="s">
        <v>4464</v>
      </c>
      <c r="I903" s="3236">
        <v>29.09</v>
      </c>
    </row>
    <row r="904" spans="1:9" ht="11.25" hidden="1" customHeight="1" x14ac:dyDescent="0.2">
      <c r="A904" s="3237" t="s">
        <v>4475</v>
      </c>
      <c r="B904" s="3237" t="s">
        <v>4128</v>
      </c>
      <c r="C904" s="3237" t="s">
        <v>4461</v>
      </c>
      <c r="D904" s="3237" t="s">
        <v>4462</v>
      </c>
      <c r="E904" s="3237" t="s">
        <v>4476</v>
      </c>
      <c r="F904" s="3237" t="s">
        <v>3662</v>
      </c>
      <c r="G904" s="3237" t="s">
        <v>3221</v>
      </c>
      <c r="H904" s="3236" t="s">
        <v>4464</v>
      </c>
      <c r="I904" s="3236">
        <v>29.09</v>
      </c>
    </row>
    <row r="905" spans="1:9" ht="11.25" hidden="1" customHeight="1" x14ac:dyDescent="0.2">
      <c r="A905" s="3237" t="s">
        <v>4475</v>
      </c>
      <c r="B905" s="3237" t="s">
        <v>4129</v>
      </c>
      <c r="C905" s="3237" t="s">
        <v>4461</v>
      </c>
      <c r="D905" s="3237" t="s">
        <v>4462</v>
      </c>
      <c r="E905" s="3237" t="s">
        <v>4476</v>
      </c>
      <c r="F905" s="3237" t="s">
        <v>3662</v>
      </c>
      <c r="G905" s="3237" t="s">
        <v>3221</v>
      </c>
      <c r="H905" s="3236" t="s">
        <v>4464</v>
      </c>
      <c r="I905" s="3236">
        <v>29.09</v>
      </c>
    </row>
    <row r="906" spans="1:9" ht="11.25" hidden="1" customHeight="1" x14ac:dyDescent="0.2">
      <c r="A906" s="3237" t="s">
        <v>4475</v>
      </c>
      <c r="B906" s="3237" t="s">
        <v>4130</v>
      </c>
      <c r="C906" s="3237" t="s">
        <v>4461</v>
      </c>
      <c r="D906" s="3237" t="s">
        <v>4462</v>
      </c>
      <c r="E906" s="3237" t="s">
        <v>4476</v>
      </c>
      <c r="F906" s="3237" t="s">
        <v>3662</v>
      </c>
      <c r="G906" s="3237" t="s">
        <v>3221</v>
      </c>
      <c r="H906" s="3236" t="s">
        <v>4464</v>
      </c>
      <c r="I906" s="3236">
        <v>29.09</v>
      </c>
    </row>
    <row r="907" spans="1:9" ht="11.25" hidden="1" customHeight="1" x14ac:dyDescent="0.2">
      <c r="A907" s="3237" t="s">
        <v>4475</v>
      </c>
      <c r="B907" s="3237" t="s">
        <v>4131</v>
      </c>
      <c r="C907" s="3237" t="s">
        <v>4461</v>
      </c>
      <c r="D907" s="3237" t="s">
        <v>4462</v>
      </c>
      <c r="E907" s="3237" t="s">
        <v>4476</v>
      </c>
      <c r="F907" s="3237" t="s">
        <v>3662</v>
      </c>
      <c r="G907" s="3237" t="s">
        <v>3221</v>
      </c>
      <c r="H907" s="3236" t="s">
        <v>4464</v>
      </c>
      <c r="I907" s="3236">
        <v>29.09</v>
      </c>
    </row>
    <row r="908" spans="1:9" ht="11.25" hidden="1" customHeight="1" x14ac:dyDescent="0.2">
      <c r="A908" s="3237" t="s">
        <v>4475</v>
      </c>
      <c r="B908" s="3237" t="s">
        <v>4132</v>
      </c>
      <c r="C908" s="3237" t="s">
        <v>4461</v>
      </c>
      <c r="D908" s="3237" t="s">
        <v>4462</v>
      </c>
      <c r="E908" s="3237" t="s">
        <v>4476</v>
      </c>
      <c r="F908" s="3237" t="s">
        <v>3662</v>
      </c>
      <c r="G908" s="3237" t="s">
        <v>3221</v>
      </c>
      <c r="H908" s="3236" t="s">
        <v>4464</v>
      </c>
      <c r="I908" s="3236">
        <v>29.09</v>
      </c>
    </row>
    <row r="909" spans="1:9" ht="11.25" hidden="1" customHeight="1" x14ac:dyDescent="0.2">
      <c r="A909" s="3237" t="s">
        <v>4475</v>
      </c>
      <c r="B909" s="3237" t="s">
        <v>4133</v>
      </c>
      <c r="C909" s="3237" t="s">
        <v>4461</v>
      </c>
      <c r="D909" s="3237" t="s">
        <v>4462</v>
      </c>
      <c r="E909" s="3237" t="s">
        <v>4476</v>
      </c>
      <c r="F909" s="3237" t="s">
        <v>3662</v>
      </c>
      <c r="G909" s="3237" t="s">
        <v>3221</v>
      </c>
      <c r="H909" s="3236" t="s">
        <v>4464</v>
      </c>
      <c r="I909" s="3236">
        <v>29.09</v>
      </c>
    </row>
    <row r="910" spans="1:9" ht="11.25" hidden="1" customHeight="1" x14ac:dyDescent="0.2">
      <c r="A910" s="3237" t="s">
        <v>4475</v>
      </c>
      <c r="B910" s="3237" t="s">
        <v>4134</v>
      </c>
      <c r="C910" s="3237" t="s">
        <v>4461</v>
      </c>
      <c r="D910" s="3237" t="s">
        <v>4462</v>
      </c>
      <c r="E910" s="3237" t="s">
        <v>4476</v>
      </c>
      <c r="F910" s="3237" t="s">
        <v>3662</v>
      </c>
      <c r="G910" s="3237" t="s">
        <v>3221</v>
      </c>
      <c r="H910" s="3236" t="s">
        <v>4464</v>
      </c>
      <c r="I910" s="3236">
        <v>29.09</v>
      </c>
    </row>
    <row r="911" spans="1:9" ht="11.25" hidden="1" customHeight="1" x14ac:dyDescent="0.2">
      <c r="A911" s="3237" t="s">
        <v>4475</v>
      </c>
      <c r="B911" s="3237" t="s">
        <v>4135</v>
      </c>
      <c r="C911" s="3237" t="s">
        <v>4461</v>
      </c>
      <c r="D911" s="3237" t="s">
        <v>4462</v>
      </c>
      <c r="E911" s="3237" t="s">
        <v>4476</v>
      </c>
      <c r="F911" s="3237" t="s">
        <v>3662</v>
      </c>
      <c r="G911" s="3237" t="s">
        <v>3221</v>
      </c>
      <c r="H911" s="3236" t="s">
        <v>4464</v>
      </c>
      <c r="I911" s="3236">
        <v>29.09</v>
      </c>
    </row>
    <row r="912" spans="1:9" ht="11.25" hidden="1" customHeight="1" x14ac:dyDescent="0.2">
      <c r="A912" s="3237" t="s">
        <v>4475</v>
      </c>
      <c r="B912" s="3237" t="s">
        <v>4136</v>
      </c>
      <c r="C912" s="3237" t="s">
        <v>4461</v>
      </c>
      <c r="D912" s="3237" t="s">
        <v>4462</v>
      </c>
      <c r="E912" s="3237" t="s">
        <v>4476</v>
      </c>
      <c r="F912" s="3237" t="s">
        <v>3662</v>
      </c>
      <c r="G912" s="3237" t="s">
        <v>3221</v>
      </c>
      <c r="H912" s="3236" t="s">
        <v>4464</v>
      </c>
      <c r="I912" s="3236">
        <v>29.09</v>
      </c>
    </row>
    <row r="913" spans="1:9" ht="11.25" hidden="1" customHeight="1" x14ac:dyDescent="0.2">
      <c r="A913" s="3237" t="s">
        <v>4475</v>
      </c>
      <c r="B913" s="3237" t="s">
        <v>4137</v>
      </c>
      <c r="C913" s="3237" t="s">
        <v>4461</v>
      </c>
      <c r="D913" s="3237" t="s">
        <v>4462</v>
      </c>
      <c r="E913" s="3237" t="s">
        <v>4476</v>
      </c>
      <c r="F913" s="3237" t="s">
        <v>3662</v>
      </c>
      <c r="G913" s="3237" t="s">
        <v>3221</v>
      </c>
      <c r="H913" s="3236" t="s">
        <v>4464</v>
      </c>
      <c r="I913" s="3236">
        <v>29.09</v>
      </c>
    </row>
    <row r="914" spans="1:9" ht="11.25" hidden="1" customHeight="1" x14ac:dyDescent="0.2">
      <c r="A914" s="3237" t="s">
        <v>4475</v>
      </c>
      <c r="B914" s="3237" t="s">
        <v>4138</v>
      </c>
      <c r="C914" s="3237" t="s">
        <v>4461</v>
      </c>
      <c r="D914" s="3237" t="s">
        <v>4462</v>
      </c>
      <c r="E914" s="3237" t="s">
        <v>4476</v>
      </c>
      <c r="F914" s="3237" t="s">
        <v>3662</v>
      </c>
      <c r="G914" s="3237" t="s">
        <v>3221</v>
      </c>
      <c r="H914" s="3236" t="s">
        <v>4464</v>
      </c>
      <c r="I914" s="3236">
        <v>29.09</v>
      </c>
    </row>
    <row r="915" spans="1:9" ht="11.25" hidden="1" customHeight="1" x14ac:dyDescent="0.2">
      <c r="A915" s="3237" t="s">
        <v>4475</v>
      </c>
      <c r="B915" s="3237" t="s">
        <v>4139</v>
      </c>
      <c r="C915" s="3237" t="s">
        <v>4461</v>
      </c>
      <c r="D915" s="3237" t="s">
        <v>4462</v>
      </c>
      <c r="E915" s="3237" t="s">
        <v>4476</v>
      </c>
      <c r="F915" s="3237" t="s">
        <v>3662</v>
      </c>
      <c r="G915" s="3237" t="s">
        <v>3221</v>
      </c>
      <c r="H915" s="3236" t="s">
        <v>4464</v>
      </c>
      <c r="I915" s="3236">
        <v>29.09</v>
      </c>
    </row>
    <row r="916" spans="1:9" ht="11.25" hidden="1" customHeight="1" x14ac:dyDescent="0.2">
      <c r="A916" s="3237" t="s">
        <v>4475</v>
      </c>
      <c r="B916" s="3237" t="s">
        <v>4140</v>
      </c>
      <c r="C916" s="3237" t="s">
        <v>4461</v>
      </c>
      <c r="D916" s="3237" t="s">
        <v>4462</v>
      </c>
      <c r="E916" s="3237" t="s">
        <v>4476</v>
      </c>
      <c r="F916" s="3237" t="s">
        <v>3662</v>
      </c>
      <c r="G916" s="3237" t="s">
        <v>3221</v>
      </c>
      <c r="H916" s="3236" t="s">
        <v>4464</v>
      </c>
      <c r="I916" s="3236">
        <v>29.09</v>
      </c>
    </row>
    <row r="917" spans="1:9" ht="11.25" hidden="1" customHeight="1" x14ac:dyDescent="0.2">
      <c r="A917" s="3237" t="s">
        <v>4475</v>
      </c>
      <c r="B917" s="3237" t="s">
        <v>4141</v>
      </c>
      <c r="C917" s="3237" t="s">
        <v>4461</v>
      </c>
      <c r="D917" s="3237" t="s">
        <v>4462</v>
      </c>
      <c r="E917" s="3237" t="s">
        <v>4476</v>
      </c>
      <c r="F917" s="3237" t="s">
        <v>3662</v>
      </c>
      <c r="G917" s="3237" t="s">
        <v>3221</v>
      </c>
      <c r="H917" s="3236" t="s">
        <v>4464</v>
      </c>
      <c r="I917" s="3236">
        <v>29.09</v>
      </c>
    </row>
    <row r="918" spans="1:9" ht="11.25" hidden="1" customHeight="1" x14ac:dyDescent="0.2">
      <c r="A918" s="3237" t="s">
        <v>4475</v>
      </c>
      <c r="B918" s="3237" t="s">
        <v>4142</v>
      </c>
      <c r="C918" s="3237" t="s">
        <v>4461</v>
      </c>
      <c r="D918" s="3237" t="s">
        <v>4462</v>
      </c>
      <c r="E918" s="3237" t="s">
        <v>4476</v>
      </c>
      <c r="F918" s="3237" t="s">
        <v>3662</v>
      </c>
      <c r="G918" s="3237" t="s">
        <v>3221</v>
      </c>
      <c r="H918" s="3236" t="s">
        <v>4464</v>
      </c>
      <c r="I918" s="3236">
        <v>29.09</v>
      </c>
    </row>
    <row r="919" spans="1:9" ht="11.25" hidden="1" customHeight="1" x14ac:dyDescent="0.2">
      <c r="A919" s="3237" t="s">
        <v>4475</v>
      </c>
      <c r="B919" s="3237" t="s">
        <v>4143</v>
      </c>
      <c r="C919" s="3237" t="s">
        <v>4461</v>
      </c>
      <c r="D919" s="3237" t="s">
        <v>4462</v>
      </c>
      <c r="E919" s="3237" t="s">
        <v>4476</v>
      </c>
      <c r="F919" s="3237" t="s">
        <v>3662</v>
      </c>
      <c r="G919" s="3237" t="s">
        <v>3221</v>
      </c>
      <c r="H919" s="3236" t="s">
        <v>4464</v>
      </c>
      <c r="I919" s="3236">
        <v>29.09</v>
      </c>
    </row>
    <row r="920" spans="1:9" ht="11.25" hidden="1" customHeight="1" x14ac:dyDescent="0.2">
      <c r="A920" s="3237" t="s">
        <v>4475</v>
      </c>
      <c r="B920" s="3237" t="s">
        <v>4144</v>
      </c>
      <c r="C920" s="3237" t="s">
        <v>4461</v>
      </c>
      <c r="D920" s="3237" t="s">
        <v>4462</v>
      </c>
      <c r="E920" s="3237" t="s">
        <v>4476</v>
      </c>
      <c r="F920" s="3237" t="s">
        <v>3662</v>
      </c>
      <c r="G920" s="3237" t="s">
        <v>3221</v>
      </c>
      <c r="H920" s="3236" t="s">
        <v>4464</v>
      </c>
      <c r="I920" s="3236">
        <v>29.09</v>
      </c>
    </row>
    <row r="921" spans="1:9" ht="11.25" hidden="1" customHeight="1" x14ac:dyDescent="0.2">
      <c r="A921" s="3237" t="s">
        <v>4475</v>
      </c>
      <c r="B921" s="3237" t="s">
        <v>4145</v>
      </c>
      <c r="C921" s="3237" t="s">
        <v>4461</v>
      </c>
      <c r="D921" s="3237" t="s">
        <v>4462</v>
      </c>
      <c r="E921" s="3237" t="s">
        <v>4476</v>
      </c>
      <c r="F921" s="3237" t="s">
        <v>3662</v>
      </c>
      <c r="G921" s="3237" t="s">
        <v>3221</v>
      </c>
      <c r="H921" s="3236" t="s">
        <v>4464</v>
      </c>
      <c r="I921" s="3236">
        <v>29.09</v>
      </c>
    </row>
    <row r="922" spans="1:9" ht="11.25" hidden="1" customHeight="1" x14ac:dyDescent="0.2">
      <c r="A922" s="3237" t="s">
        <v>4475</v>
      </c>
      <c r="B922" s="3237" t="s">
        <v>4146</v>
      </c>
      <c r="C922" s="3237" t="s">
        <v>4461</v>
      </c>
      <c r="D922" s="3237" t="s">
        <v>4462</v>
      </c>
      <c r="E922" s="3237" t="s">
        <v>4476</v>
      </c>
      <c r="F922" s="3237" t="s">
        <v>3662</v>
      </c>
      <c r="G922" s="3237" t="s">
        <v>3221</v>
      </c>
      <c r="H922" s="3236" t="s">
        <v>4464</v>
      </c>
      <c r="I922" s="3236">
        <v>29.09</v>
      </c>
    </row>
    <row r="923" spans="1:9" ht="11.25" hidden="1" customHeight="1" x14ac:dyDescent="0.2">
      <c r="A923" s="3237" t="s">
        <v>4475</v>
      </c>
      <c r="B923" s="3237" t="s">
        <v>4147</v>
      </c>
      <c r="C923" s="3237" t="s">
        <v>4461</v>
      </c>
      <c r="D923" s="3237" t="s">
        <v>4462</v>
      </c>
      <c r="E923" s="3237" t="s">
        <v>4476</v>
      </c>
      <c r="F923" s="3237" t="s">
        <v>3662</v>
      </c>
      <c r="G923" s="3237" t="s">
        <v>3221</v>
      </c>
      <c r="H923" s="3236" t="s">
        <v>4464</v>
      </c>
      <c r="I923" s="3236">
        <v>29.09</v>
      </c>
    </row>
    <row r="924" spans="1:9" ht="11.25" hidden="1" customHeight="1" x14ac:dyDescent="0.2">
      <c r="A924" s="3237" t="s">
        <v>4475</v>
      </c>
      <c r="B924" s="3237" t="s">
        <v>4148</v>
      </c>
      <c r="C924" s="3237" t="s">
        <v>4461</v>
      </c>
      <c r="D924" s="3237" t="s">
        <v>4462</v>
      </c>
      <c r="E924" s="3237" t="s">
        <v>4476</v>
      </c>
      <c r="F924" s="3237" t="s">
        <v>3662</v>
      </c>
      <c r="G924" s="3237" t="s">
        <v>3221</v>
      </c>
      <c r="H924" s="3236" t="s">
        <v>4464</v>
      </c>
      <c r="I924" s="3236">
        <v>29.09</v>
      </c>
    </row>
    <row r="925" spans="1:9" ht="11.25" hidden="1" customHeight="1" x14ac:dyDescent="0.2">
      <c r="A925" s="3237" t="s">
        <v>4475</v>
      </c>
      <c r="B925" s="3237" t="s">
        <v>4149</v>
      </c>
      <c r="C925" s="3237" t="s">
        <v>4461</v>
      </c>
      <c r="D925" s="3237" t="s">
        <v>4462</v>
      </c>
      <c r="E925" s="3237" t="s">
        <v>4476</v>
      </c>
      <c r="F925" s="3237" t="s">
        <v>3662</v>
      </c>
      <c r="G925" s="3237" t="s">
        <v>3221</v>
      </c>
      <c r="H925" s="3236" t="s">
        <v>4464</v>
      </c>
      <c r="I925" s="3236">
        <v>29.09</v>
      </c>
    </row>
    <row r="926" spans="1:9" ht="11.25" hidden="1" customHeight="1" x14ac:dyDescent="0.2">
      <c r="A926" s="3237" t="s">
        <v>4475</v>
      </c>
      <c r="B926" s="3237" t="s">
        <v>4150</v>
      </c>
      <c r="C926" s="3237" t="s">
        <v>4461</v>
      </c>
      <c r="D926" s="3237" t="s">
        <v>4462</v>
      </c>
      <c r="E926" s="3237" t="s">
        <v>4476</v>
      </c>
      <c r="F926" s="3237" t="s">
        <v>3662</v>
      </c>
      <c r="G926" s="3237" t="s">
        <v>3221</v>
      </c>
      <c r="H926" s="3236" t="s">
        <v>4464</v>
      </c>
      <c r="I926" s="3236">
        <v>29.09</v>
      </c>
    </row>
    <row r="927" spans="1:9" ht="11.25" hidden="1" customHeight="1" x14ac:dyDescent="0.2">
      <c r="A927" s="3237" t="s">
        <v>4475</v>
      </c>
      <c r="B927" s="3237" t="s">
        <v>4151</v>
      </c>
      <c r="C927" s="3237" t="s">
        <v>4461</v>
      </c>
      <c r="D927" s="3237" t="s">
        <v>4462</v>
      </c>
      <c r="E927" s="3237" t="s">
        <v>4476</v>
      </c>
      <c r="F927" s="3237" t="s">
        <v>3662</v>
      </c>
      <c r="G927" s="3237" t="s">
        <v>3221</v>
      </c>
      <c r="H927" s="3236" t="s">
        <v>4464</v>
      </c>
      <c r="I927" s="3236">
        <v>29.09</v>
      </c>
    </row>
    <row r="928" spans="1:9" ht="11.25" hidden="1" customHeight="1" x14ac:dyDescent="0.2">
      <c r="A928" s="3237" t="s">
        <v>4475</v>
      </c>
      <c r="B928" s="3237" t="s">
        <v>4152</v>
      </c>
      <c r="C928" s="3237" t="s">
        <v>4461</v>
      </c>
      <c r="D928" s="3237" t="s">
        <v>4462</v>
      </c>
      <c r="E928" s="3237" t="s">
        <v>4476</v>
      </c>
      <c r="F928" s="3237" t="s">
        <v>3662</v>
      </c>
      <c r="G928" s="3237" t="s">
        <v>3221</v>
      </c>
      <c r="H928" s="3236" t="s">
        <v>4464</v>
      </c>
      <c r="I928" s="3236">
        <v>29.09</v>
      </c>
    </row>
    <row r="929" spans="1:9" ht="11.25" hidden="1" customHeight="1" x14ac:dyDescent="0.2">
      <c r="A929" s="3237" t="s">
        <v>4475</v>
      </c>
      <c r="B929" s="3237" t="s">
        <v>4153</v>
      </c>
      <c r="C929" s="3237" t="s">
        <v>4461</v>
      </c>
      <c r="D929" s="3237" t="s">
        <v>4462</v>
      </c>
      <c r="E929" s="3237" t="s">
        <v>4476</v>
      </c>
      <c r="F929" s="3237" t="s">
        <v>3662</v>
      </c>
      <c r="G929" s="3237" t="s">
        <v>3221</v>
      </c>
      <c r="H929" s="3236" t="s">
        <v>4464</v>
      </c>
      <c r="I929" s="3236">
        <v>29.09</v>
      </c>
    </row>
    <row r="930" spans="1:9" ht="11.25" hidden="1" customHeight="1" x14ac:dyDescent="0.2">
      <c r="A930" s="3237" t="s">
        <v>4475</v>
      </c>
      <c r="B930" s="3237" t="s">
        <v>4154</v>
      </c>
      <c r="C930" s="3237" t="s">
        <v>4461</v>
      </c>
      <c r="D930" s="3237" t="s">
        <v>4462</v>
      </c>
      <c r="E930" s="3237" t="s">
        <v>4476</v>
      </c>
      <c r="F930" s="3237" t="s">
        <v>3662</v>
      </c>
      <c r="G930" s="3237" t="s">
        <v>3221</v>
      </c>
      <c r="H930" s="3236" t="s">
        <v>4464</v>
      </c>
      <c r="I930" s="3236">
        <v>29.09</v>
      </c>
    </row>
    <row r="931" spans="1:9" ht="11.25" hidden="1" customHeight="1" x14ac:dyDescent="0.2">
      <c r="A931" s="3237" t="s">
        <v>4475</v>
      </c>
      <c r="B931" s="3237" t="s">
        <v>4155</v>
      </c>
      <c r="C931" s="3237" t="s">
        <v>4461</v>
      </c>
      <c r="D931" s="3237" t="s">
        <v>4462</v>
      </c>
      <c r="E931" s="3237" t="s">
        <v>4476</v>
      </c>
      <c r="F931" s="3237" t="s">
        <v>3662</v>
      </c>
      <c r="G931" s="3237" t="s">
        <v>3221</v>
      </c>
      <c r="H931" s="3236" t="s">
        <v>4464</v>
      </c>
      <c r="I931" s="3236">
        <v>29.09</v>
      </c>
    </row>
    <row r="932" spans="1:9" ht="11.25" hidden="1" customHeight="1" x14ac:dyDescent="0.2">
      <c r="A932" s="3237" t="s">
        <v>4475</v>
      </c>
      <c r="B932" s="3237" t="s">
        <v>4156</v>
      </c>
      <c r="C932" s="3237" t="s">
        <v>4461</v>
      </c>
      <c r="D932" s="3237" t="s">
        <v>4462</v>
      </c>
      <c r="E932" s="3237" t="s">
        <v>4476</v>
      </c>
      <c r="F932" s="3237" t="s">
        <v>3662</v>
      </c>
      <c r="G932" s="3237" t="s">
        <v>3221</v>
      </c>
      <c r="H932" s="3236" t="s">
        <v>4464</v>
      </c>
      <c r="I932" s="3236">
        <v>29.09</v>
      </c>
    </row>
    <row r="933" spans="1:9" ht="11.25" hidden="1" customHeight="1" x14ac:dyDescent="0.2">
      <c r="A933" s="3237" t="s">
        <v>4475</v>
      </c>
      <c r="B933" s="3237" t="s">
        <v>4157</v>
      </c>
      <c r="C933" s="3237" t="s">
        <v>4461</v>
      </c>
      <c r="D933" s="3237" t="s">
        <v>4462</v>
      </c>
      <c r="E933" s="3237" t="s">
        <v>4476</v>
      </c>
      <c r="F933" s="3237" t="s">
        <v>3662</v>
      </c>
      <c r="G933" s="3237" t="s">
        <v>3221</v>
      </c>
      <c r="H933" s="3236" t="s">
        <v>4464</v>
      </c>
      <c r="I933" s="3236">
        <v>29.09</v>
      </c>
    </row>
    <row r="934" spans="1:9" ht="11.25" hidden="1" customHeight="1" x14ac:dyDescent="0.2">
      <c r="A934" s="3237" t="s">
        <v>4475</v>
      </c>
      <c r="B934" s="3237" t="s">
        <v>4158</v>
      </c>
      <c r="C934" s="3237" t="s">
        <v>4461</v>
      </c>
      <c r="D934" s="3237" t="s">
        <v>4462</v>
      </c>
      <c r="E934" s="3237" t="s">
        <v>4476</v>
      </c>
      <c r="F934" s="3237" t="s">
        <v>3662</v>
      </c>
      <c r="G934" s="3237" t="s">
        <v>3221</v>
      </c>
      <c r="H934" s="3236" t="s">
        <v>4464</v>
      </c>
      <c r="I934" s="3236">
        <v>29.09</v>
      </c>
    </row>
    <row r="935" spans="1:9" ht="11.25" hidden="1" customHeight="1" x14ac:dyDescent="0.2">
      <c r="A935" s="3237" t="s">
        <v>4475</v>
      </c>
      <c r="B935" s="3237" t="s">
        <v>4159</v>
      </c>
      <c r="C935" s="3237" t="s">
        <v>4461</v>
      </c>
      <c r="D935" s="3237" t="s">
        <v>4462</v>
      </c>
      <c r="E935" s="3237" t="s">
        <v>4476</v>
      </c>
      <c r="F935" s="3237" t="s">
        <v>3662</v>
      </c>
      <c r="G935" s="3237" t="s">
        <v>3221</v>
      </c>
      <c r="H935" s="3236" t="s">
        <v>4464</v>
      </c>
      <c r="I935" s="3236">
        <v>29.09</v>
      </c>
    </row>
    <row r="936" spans="1:9" ht="11.25" hidden="1" customHeight="1" x14ac:dyDescent="0.2">
      <c r="A936" s="3237" t="s">
        <v>4475</v>
      </c>
      <c r="B936" s="3237" t="s">
        <v>4160</v>
      </c>
      <c r="C936" s="3237" t="s">
        <v>4461</v>
      </c>
      <c r="D936" s="3237" t="s">
        <v>4462</v>
      </c>
      <c r="E936" s="3237" t="s">
        <v>4476</v>
      </c>
      <c r="F936" s="3237" t="s">
        <v>3662</v>
      </c>
      <c r="G936" s="3237" t="s">
        <v>3221</v>
      </c>
      <c r="H936" s="3236" t="s">
        <v>4464</v>
      </c>
      <c r="I936" s="3236">
        <v>29.09</v>
      </c>
    </row>
    <row r="937" spans="1:9" ht="11.25" hidden="1" customHeight="1" x14ac:dyDescent="0.2">
      <c r="A937" s="3237" t="s">
        <v>4475</v>
      </c>
      <c r="B937" s="3237" t="s">
        <v>4161</v>
      </c>
      <c r="C937" s="3237" t="s">
        <v>4461</v>
      </c>
      <c r="D937" s="3237" t="s">
        <v>4462</v>
      </c>
      <c r="E937" s="3237" t="s">
        <v>4476</v>
      </c>
      <c r="F937" s="3237" t="s">
        <v>3662</v>
      </c>
      <c r="G937" s="3237" t="s">
        <v>3221</v>
      </c>
      <c r="H937" s="3236" t="s">
        <v>4464</v>
      </c>
      <c r="I937" s="3236">
        <v>29.09</v>
      </c>
    </row>
    <row r="938" spans="1:9" ht="11.25" hidden="1" customHeight="1" x14ac:dyDescent="0.2">
      <c r="A938" s="3237" t="s">
        <v>4475</v>
      </c>
      <c r="B938" s="3237" t="s">
        <v>4162</v>
      </c>
      <c r="C938" s="3237" t="s">
        <v>4461</v>
      </c>
      <c r="D938" s="3237" t="s">
        <v>4462</v>
      </c>
      <c r="E938" s="3237" t="s">
        <v>4476</v>
      </c>
      <c r="F938" s="3237" t="s">
        <v>3662</v>
      </c>
      <c r="G938" s="3237" t="s">
        <v>3221</v>
      </c>
      <c r="H938" s="3236" t="s">
        <v>4464</v>
      </c>
      <c r="I938" s="3236">
        <v>29.09</v>
      </c>
    </row>
    <row r="939" spans="1:9" ht="11.25" hidden="1" customHeight="1" x14ac:dyDescent="0.2">
      <c r="A939" s="3237" t="s">
        <v>4475</v>
      </c>
      <c r="B939" s="3237" t="s">
        <v>4163</v>
      </c>
      <c r="C939" s="3237" t="s">
        <v>4461</v>
      </c>
      <c r="D939" s="3237" t="s">
        <v>4462</v>
      </c>
      <c r="E939" s="3237" t="s">
        <v>4476</v>
      </c>
      <c r="F939" s="3237" t="s">
        <v>3662</v>
      </c>
      <c r="G939" s="3237" t="s">
        <v>3221</v>
      </c>
      <c r="H939" s="3236" t="s">
        <v>4464</v>
      </c>
      <c r="I939" s="3236">
        <v>29.09</v>
      </c>
    </row>
    <row r="940" spans="1:9" ht="11.25" hidden="1" customHeight="1" x14ac:dyDescent="0.2">
      <c r="A940" s="3237" t="s">
        <v>4475</v>
      </c>
      <c r="B940" s="3237" t="s">
        <v>4164</v>
      </c>
      <c r="C940" s="3237" t="s">
        <v>4461</v>
      </c>
      <c r="D940" s="3237" t="s">
        <v>4462</v>
      </c>
      <c r="E940" s="3237" t="s">
        <v>4476</v>
      </c>
      <c r="F940" s="3237" t="s">
        <v>3662</v>
      </c>
      <c r="G940" s="3237" t="s">
        <v>3221</v>
      </c>
      <c r="H940" s="3236" t="s">
        <v>4464</v>
      </c>
      <c r="I940" s="3236">
        <v>29.09</v>
      </c>
    </row>
    <row r="941" spans="1:9" ht="11.25" hidden="1" customHeight="1" x14ac:dyDescent="0.2">
      <c r="A941" s="3237" t="s">
        <v>4475</v>
      </c>
      <c r="B941" s="3237" t="s">
        <v>4165</v>
      </c>
      <c r="C941" s="3237" t="s">
        <v>4461</v>
      </c>
      <c r="D941" s="3237" t="s">
        <v>4462</v>
      </c>
      <c r="E941" s="3237" t="s">
        <v>4476</v>
      </c>
      <c r="F941" s="3237" t="s">
        <v>3662</v>
      </c>
      <c r="G941" s="3237" t="s">
        <v>3221</v>
      </c>
      <c r="H941" s="3236" t="s">
        <v>4464</v>
      </c>
      <c r="I941" s="3236">
        <v>29.09</v>
      </c>
    </row>
    <row r="942" spans="1:9" ht="11.25" hidden="1" customHeight="1" x14ac:dyDescent="0.2">
      <c r="A942" s="3237" t="s">
        <v>4475</v>
      </c>
      <c r="B942" s="3237" t="s">
        <v>4166</v>
      </c>
      <c r="C942" s="3237" t="s">
        <v>4461</v>
      </c>
      <c r="D942" s="3237" t="s">
        <v>4462</v>
      </c>
      <c r="E942" s="3237" t="s">
        <v>4476</v>
      </c>
      <c r="F942" s="3237" t="s">
        <v>3662</v>
      </c>
      <c r="G942" s="3237" t="s">
        <v>3221</v>
      </c>
      <c r="H942" s="3236" t="s">
        <v>4464</v>
      </c>
      <c r="I942" s="3236">
        <v>29.09</v>
      </c>
    </row>
    <row r="943" spans="1:9" ht="11.25" hidden="1" customHeight="1" x14ac:dyDescent="0.2">
      <c r="A943" s="3237" t="s">
        <v>4475</v>
      </c>
      <c r="B943" s="3237" t="s">
        <v>4167</v>
      </c>
      <c r="C943" s="3237" t="s">
        <v>4461</v>
      </c>
      <c r="D943" s="3237" t="s">
        <v>4462</v>
      </c>
      <c r="E943" s="3237" t="s">
        <v>4476</v>
      </c>
      <c r="F943" s="3237" t="s">
        <v>3662</v>
      </c>
      <c r="G943" s="3237" t="s">
        <v>3221</v>
      </c>
      <c r="H943" s="3236" t="s">
        <v>4464</v>
      </c>
      <c r="I943" s="3236">
        <v>29.09</v>
      </c>
    </row>
    <row r="944" spans="1:9" ht="11.25" hidden="1" customHeight="1" x14ac:dyDescent="0.2">
      <c r="A944" s="3237" t="s">
        <v>4475</v>
      </c>
      <c r="B944" s="3237" t="s">
        <v>4168</v>
      </c>
      <c r="C944" s="3237" t="s">
        <v>4461</v>
      </c>
      <c r="D944" s="3237" t="s">
        <v>4462</v>
      </c>
      <c r="E944" s="3237" t="s">
        <v>4476</v>
      </c>
      <c r="F944" s="3237" t="s">
        <v>3662</v>
      </c>
      <c r="G944" s="3237" t="s">
        <v>3221</v>
      </c>
      <c r="H944" s="3236" t="s">
        <v>4464</v>
      </c>
      <c r="I944" s="3236">
        <v>29.09</v>
      </c>
    </row>
    <row r="945" spans="1:9" ht="11.25" hidden="1" customHeight="1" x14ac:dyDescent="0.2">
      <c r="A945" s="3237" t="s">
        <v>4475</v>
      </c>
      <c r="B945" s="3237" t="s">
        <v>4169</v>
      </c>
      <c r="C945" s="3237" t="s">
        <v>4461</v>
      </c>
      <c r="D945" s="3237" t="s">
        <v>4462</v>
      </c>
      <c r="E945" s="3237" t="s">
        <v>4476</v>
      </c>
      <c r="F945" s="3237" t="s">
        <v>3662</v>
      </c>
      <c r="G945" s="3237" t="s">
        <v>3221</v>
      </c>
      <c r="H945" s="3236" t="s">
        <v>4464</v>
      </c>
      <c r="I945" s="3236">
        <v>29.09</v>
      </c>
    </row>
    <row r="946" spans="1:9" ht="11.25" hidden="1" customHeight="1" x14ac:dyDescent="0.2">
      <c r="A946" s="3237" t="s">
        <v>4475</v>
      </c>
      <c r="B946" s="3237" t="s">
        <v>4170</v>
      </c>
      <c r="C946" s="3237" t="s">
        <v>4461</v>
      </c>
      <c r="D946" s="3237" t="s">
        <v>4462</v>
      </c>
      <c r="E946" s="3237" t="s">
        <v>4476</v>
      </c>
      <c r="F946" s="3237" t="s">
        <v>3662</v>
      </c>
      <c r="G946" s="3237" t="s">
        <v>3221</v>
      </c>
      <c r="H946" s="3236" t="s">
        <v>4464</v>
      </c>
      <c r="I946" s="3236">
        <v>29.09</v>
      </c>
    </row>
    <row r="947" spans="1:9" ht="11.25" hidden="1" customHeight="1" x14ac:dyDescent="0.2">
      <c r="A947" s="3237" t="s">
        <v>4475</v>
      </c>
      <c r="B947" s="3237" t="s">
        <v>4171</v>
      </c>
      <c r="C947" s="3237" t="s">
        <v>4461</v>
      </c>
      <c r="D947" s="3237" t="s">
        <v>4462</v>
      </c>
      <c r="E947" s="3237" t="s">
        <v>4476</v>
      </c>
      <c r="F947" s="3237" t="s">
        <v>3662</v>
      </c>
      <c r="G947" s="3237" t="s">
        <v>3221</v>
      </c>
      <c r="H947" s="3236" t="s">
        <v>4464</v>
      </c>
      <c r="I947" s="3236">
        <v>29.09</v>
      </c>
    </row>
    <row r="948" spans="1:9" ht="11.25" hidden="1" customHeight="1" x14ac:dyDescent="0.2">
      <c r="A948" s="3237" t="s">
        <v>4475</v>
      </c>
      <c r="B948" s="3237" t="s">
        <v>4172</v>
      </c>
      <c r="C948" s="3237" t="s">
        <v>4461</v>
      </c>
      <c r="D948" s="3237" t="s">
        <v>4462</v>
      </c>
      <c r="E948" s="3237" t="s">
        <v>4476</v>
      </c>
      <c r="F948" s="3237" t="s">
        <v>3662</v>
      </c>
      <c r="G948" s="3237" t="s">
        <v>3221</v>
      </c>
      <c r="H948" s="3236" t="s">
        <v>4464</v>
      </c>
      <c r="I948" s="3236">
        <v>29.09</v>
      </c>
    </row>
    <row r="949" spans="1:9" ht="11.25" hidden="1" customHeight="1" x14ac:dyDescent="0.2">
      <c r="A949" s="3237" t="s">
        <v>4475</v>
      </c>
      <c r="B949" s="3237" t="s">
        <v>4173</v>
      </c>
      <c r="C949" s="3237" t="s">
        <v>4461</v>
      </c>
      <c r="D949" s="3237" t="s">
        <v>4462</v>
      </c>
      <c r="E949" s="3237" t="s">
        <v>4476</v>
      </c>
      <c r="F949" s="3237" t="s">
        <v>3662</v>
      </c>
      <c r="G949" s="3237" t="s">
        <v>3221</v>
      </c>
      <c r="H949" s="3236" t="s">
        <v>4464</v>
      </c>
      <c r="I949" s="3236">
        <v>29.09</v>
      </c>
    </row>
    <row r="950" spans="1:9" ht="11.25" hidden="1" customHeight="1" x14ac:dyDescent="0.2">
      <c r="A950" s="3237" t="s">
        <v>4475</v>
      </c>
      <c r="B950" s="3237" t="s">
        <v>4174</v>
      </c>
      <c r="C950" s="3237" t="s">
        <v>4461</v>
      </c>
      <c r="D950" s="3237" t="s">
        <v>4462</v>
      </c>
      <c r="E950" s="3237" t="s">
        <v>4476</v>
      </c>
      <c r="F950" s="3237" t="s">
        <v>3662</v>
      </c>
      <c r="G950" s="3237" t="s">
        <v>3221</v>
      </c>
      <c r="H950" s="3236" t="s">
        <v>4464</v>
      </c>
      <c r="I950" s="3236">
        <v>29.09</v>
      </c>
    </row>
    <row r="951" spans="1:9" ht="11.25" hidden="1" customHeight="1" x14ac:dyDescent="0.2">
      <c r="A951" s="3237" t="s">
        <v>4475</v>
      </c>
      <c r="B951" s="3237" t="s">
        <v>4175</v>
      </c>
      <c r="C951" s="3237" t="s">
        <v>4461</v>
      </c>
      <c r="D951" s="3237" t="s">
        <v>4462</v>
      </c>
      <c r="E951" s="3237" t="s">
        <v>4476</v>
      </c>
      <c r="F951" s="3237" t="s">
        <v>3662</v>
      </c>
      <c r="G951" s="3237" t="s">
        <v>3221</v>
      </c>
      <c r="H951" s="3236" t="s">
        <v>4464</v>
      </c>
      <c r="I951" s="3236">
        <v>29.09</v>
      </c>
    </row>
    <row r="952" spans="1:9" ht="11.25" hidden="1" customHeight="1" x14ac:dyDescent="0.2">
      <c r="A952" s="3237" t="s">
        <v>4475</v>
      </c>
      <c r="B952" s="3237" t="s">
        <v>4176</v>
      </c>
      <c r="C952" s="3237" t="s">
        <v>4461</v>
      </c>
      <c r="D952" s="3237" t="s">
        <v>4462</v>
      </c>
      <c r="E952" s="3237" t="s">
        <v>4476</v>
      </c>
      <c r="F952" s="3237" t="s">
        <v>3662</v>
      </c>
      <c r="G952" s="3237" t="s">
        <v>3221</v>
      </c>
      <c r="H952" s="3236" t="s">
        <v>4464</v>
      </c>
      <c r="I952" s="3236">
        <v>29.09</v>
      </c>
    </row>
    <row r="953" spans="1:9" ht="11.25" hidden="1" customHeight="1" x14ac:dyDescent="0.2">
      <c r="A953" s="3237" t="s">
        <v>4475</v>
      </c>
      <c r="B953" s="3237" t="s">
        <v>4177</v>
      </c>
      <c r="C953" s="3237" t="s">
        <v>4461</v>
      </c>
      <c r="D953" s="3237" t="s">
        <v>4462</v>
      </c>
      <c r="E953" s="3237" t="s">
        <v>4476</v>
      </c>
      <c r="F953" s="3237" t="s">
        <v>3662</v>
      </c>
      <c r="G953" s="3237" t="s">
        <v>3221</v>
      </c>
      <c r="H953" s="3236" t="s">
        <v>4464</v>
      </c>
      <c r="I953" s="3236">
        <v>29.09</v>
      </c>
    </row>
    <row r="954" spans="1:9" ht="11.25" hidden="1" customHeight="1" x14ac:dyDescent="0.2">
      <c r="A954" s="3237" t="s">
        <v>4475</v>
      </c>
      <c r="B954" s="3237" t="s">
        <v>4178</v>
      </c>
      <c r="C954" s="3237" t="s">
        <v>4461</v>
      </c>
      <c r="D954" s="3237" t="s">
        <v>4462</v>
      </c>
      <c r="E954" s="3237" t="s">
        <v>4476</v>
      </c>
      <c r="F954" s="3237" t="s">
        <v>3662</v>
      </c>
      <c r="G954" s="3237" t="s">
        <v>3221</v>
      </c>
      <c r="H954" s="3236" t="s">
        <v>4464</v>
      </c>
      <c r="I954" s="3236">
        <v>29.09</v>
      </c>
    </row>
    <row r="955" spans="1:9" ht="11.25" hidden="1" customHeight="1" x14ac:dyDescent="0.2">
      <c r="A955" s="3237" t="s">
        <v>4475</v>
      </c>
      <c r="B955" s="3237" t="s">
        <v>4179</v>
      </c>
      <c r="C955" s="3237" t="s">
        <v>4461</v>
      </c>
      <c r="D955" s="3237" t="s">
        <v>4462</v>
      </c>
      <c r="E955" s="3237" t="s">
        <v>4476</v>
      </c>
      <c r="F955" s="3237" t="s">
        <v>3662</v>
      </c>
      <c r="G955" s="3237" t="s">
        <v>3221</v>
      </c>
      <c r="H955" s="3236" t="s">
        <v>4464</v>
      </c>
      <c r="I955" s="3236">
        <v>29.09</v>
      </c>
    </row>
    <row r="956" spans="1:9" ht="11.25" hidden="1" customHeight="1" x14ac:dyDescent="0.2">
      <c r="A956" s="3237" t="s">
        <v>4475</v>
      </c>
      <c r="B956" s="3237" t="s">
        <v>4180</v>
      </c>
      <c r="C956" s="3237" t="s">
        <v>4461</v>
      </c>
      <c r="D956" s="3237" t="s">
        <v>4462</v>
      </c>
      <c r="E956" s="3237" t="s">
        <v>4476</v>
      </c>
      <c r="F956" s="3237" t="s">
        <v>3662</v>
      </c>
      <c r="G956" s="3237" t="s">
        <v>3221</v>
      </c>
      <c r="H956" s="3236" t="s">
        <v>4464</v>
      </c>
      <c r="I956" s="3236">
        <v>29.09</v>
      </c>
    </row>
    <row r="957" spans="1:9" ht="11.25" hidden="1" customHeight="1" x14ac:dyDescent="0.2">
      <c r="A957" s="3237" t="s">
        <v>4475</v>
      </c>
      <c r="B957" s="3237" t="s">
        <v>4181</v>
      </c>
      <c r="C957" s="3237" t="s">
        <v>4461</v>
      </c>
      <c r="D957" s="3237" t="s">
        <v>4462</v>
      </c>
      <c r="E957" s="3237" t="s">
        <v>4476</v>
      </c>
      <c r="F957" s="3237" t="s">
        <v>3662</v>
      </c>
      <c r="G957" s="3237" t="s">
        <v>3221</v>
      </c>
      <c r="H957" s="3236" t="s">
        <v>4464</v>
      </c>
      <c r="I957" s="3236">
        <v>29.09</v>
      </c>
    </row>
    <row r="958" spans="1:9" ht="11.25" hidden="1" customHeight="1" x14ac:dyDescent="0.2">
      <c r="A958" s="3237" t="s">
        <v>4475</v>
      </c>
      <c r="B958" s="3237" t="s">
        <v>4182</v>
      </c>
      <c r="C958" s="3237" t="s">
        <v>4461</v>
      </c>
      <c r="D958" s="3237" t="s">
        <v>4462</v>
      </c>
      <c r="E958" s="3237" t="s">
        <v>4476</v>
      </c>
      <c r="F958" s="3237" t="s">
        <v>3662</v>
      </c>
      <c r="G958" s="3237" t="s">
        <v>3221</v>
      </c>
      <c r="H958" s="3236" t="s">
        <v>4464</v>
      </c>
      <c r="I958" s="3236">
        <v>29.09</v>
      </c>
    </row>
    <row r="959" spans="1:9" ht="11.25" hidden="1" customHeight="1" x14ac:dyDescent="0.2">
      <c r="A959" s="3237" t="s">
        <v>4475</v>
      </c>
      <c r="B959" s="3237" t="s">
        <v>4183</v>
      </c>
      <c r="C959" s="3237" t="s">
        <v>4461</v>
      </c>
      <c r="D959" s="3237" t="s">
        <v>4462</v>
      </c>
      <c r="E959" s="3237" t="s">
        <v>4476</v>
      </c>
      <c r="F959" s="3237" t="s">
        <v>3662</v>
      </c>
      <c r="G959" s="3237" t="s">
        <v>3221</v>
      </c>
      <c r="H959" s="3236" t="s">
        <v>4464</v>
      </c>
      <c r="I959" s="3236">
        <v>25.02</v>
      </c>
    </row>
    <row r="960" spans="1:9" ht="11.25" hidden="1" customHeight="1" x14ac:dyDescent="0.2">
      <c r="A960" s="3237" t="s">
        <v>4475</v>
      </c>
      <c r="B960" s="3237" t="s">
        <v>4184</v>
      </c>
      <c r="C960" s="3237" t="s">
        <v>4461</v>
      </c>
      <c r="D960" s="3237" t="s">
        <v>4462</v>
      </c>
      <c r="E960" s="3237" t="s">
        <v>4476</v>
      </c>
      <c r="F960" s="3237" t="s">
        <v>3662</v>
      </c>
      <c r="G960" s="3237" t="s">
        <v>3221</v>
      </c>
      <c r="H960" s="3236" t="s">
        <v>4464</v>
      </c>
      <c r="I960" s="3236">
        <v>25.02</v>
      </c>
    </row>
    <row r="961" spans="1:9" ht="11.25" hidden="1" customHeight="1" x14ac:dyDescent="0.2">
      <c r="A961" s="3237" t="s">
        <v>4475</v>
      </c>
      <c r="B961" s="3237" t="s">
        <v>4185</v>
      </c>
      <c r="C961" s="3237" t="s">
        <v>4461</v>
      </c>
      <c r="D961" s="3237" t="s">
        <v>4462</v>
      </c>
      <c r="E961" s="3237" t="s">
        <v>4476</v>
      </c>
      <c r="F961" s="3237" t="s">
        <v>3662</v>
      </c>
      <c r="G961" s="3237" t="s">
        <v>3221</v>
      </c>
      <c r="H961" s="3236" t="s">
        <v>4464</v>
      </c>
      <c r="I961" s="3236">
        <v>25.02</v>
      </c>
    </row>
    <row r="962" spans="1:9" ht="11.25" hidden="1" customHeight="1" x14ac:dyDescent="0.2">
      <c r="A962" s="3237" t="s">
        <v>4475</v>
      </c>
      <c r="B962" s="3237" t="s">
        <v>4186</v>
      </c>
      <c r="C962" s="3237" t="s">
        <v>4461</v>
      </c>
      <c r="D962" s="3237" t="s">
        <v>4462</v>
      </c>
      <c r="E962" s="3237" t="s">
        <v>4476</v>
      </c>
      <c r="F962" s="3237" t="s">
        <v>3662</v>
      </c>
      <c r="G962" s="3237" t="s">
        <v>3221</v>
      </c>
      <c r="H962" s="3236" t="s">
        <v>4464</v>
      </c>
      <c r="I962" s="3236">
        <v>25.02</v>
      </c>
    </row>
    <row r="963" spans="1:9" ht="11.25" hidden="1" customHeight="1" x14ac:dyDescent="0.2">
      <c r="A963" s="3237" t="s">
        <v>4475</v>
      </c>
      <c r="B963" s="3237" t="s">
        <v>4187</v>
      </c>
      <c r="C963" s="3237" t="s">
        <v>4461</v>
      </c>
      <c r="D963" s="3237" t="s">
        <v>4462</v>
      </c>
      <c r="E963" s="3237" t="s">
        <v>4476</v>
      </c>
      <c r="F963" s="3237" t="s">
        <v>3662</v>
      </c>
      <c r="G963" s="3237" t="s">
        <v>3221</v>
      </c>
      <c r="H963" s="3236" t="s">
        <v>4464</v>
      </c>
      <c r="I963" s="3236">
        <v>25.02</v>
      </c>
    </row>
    <row r="964" spans="1:9" ht="11.25" hidden="1" customHeight="1" x14ac:dyDescent="0.2">
      <c r="A964" s="3237" t="s">
        <v>4475</v>
      </c>
      <c r="B964" s="3237" t="s">
        <v>4188</v>
      </c>
      <c r="C964" s="3237" t="s">
        <v>4461</v>
      </c>
      <c r="D964" s="3237" t="s">
        <v>4462</v>
      </c>
      <c r="E964" s="3237" t="s">
        <v>4476</v>
      </c>
      <c r="F964" s="3237" t="s">
        <v>3662</v>
      </c>
      <c r="G964" s="3237" t="s">
        <v>3221</v>
      </c>
      <c r="H964" s="3236" t="s">
        <v>4464</v>
      </c>
      <c r="I964" s="3236">
        <v>25.02</v>
      </c>
    </row>
    <row r="965" spans="1:9" ht="11.25" hidden="1" customHeight="1" x14ac:dyDescent="0.2">
      <c r="A965" s="3237" t="s">
        <v>4475</v>
      </c>
      <c r="B965" s="3237" t="s">
        <v>4189</v>
      </c>
      <c r="C965" s="3237" t="s">
        <v>4461</v>
      </c>
      <c r="D965" s="3237" t="s">
        <v>4462</v>
      </c>
      <c r="E965" s="3237" t="s">
        <v>4476</v>
      </c>
      <c r="F965" s="3237" t="s">
        <v>3662</v>
      </c>
      <c r="G965" s="3237" t="s">
        <v>3221</v>
      </c>
      <c r="H965" s="3236" t="s">
        <v>4464</v>
      </c>
      <c r="I965" s="3236">
        <v>25.02</v>
      </c>
    </row>
    <row r="966" spans="1:9" ht="11.25" hidden="1" customHeight="1" x14ac:dyDescent="0.2">
      <c r="A966" s="3237" t="s">
        <v>4475</v>
      </c>
      <c r="B966" s="3237" t="s">
        <v>4190</v>
      </c>
      <c r="C966" s="3237" t="s">
        <v>4461</v>
      </c>
      <c r="D966" s="3237" t="s">
        <v>4462</v>
      </c>
      <c r="E966" s="3237" t="s">
        <v>4476</v>
      </c>
      <c r="F966" s="3237" t="s">
        <v>3662</v>
      </c>
      <c r="G966" s="3237" t="s">
        <v>3221</v>
      </c>
      <c r="H966" s="3236" t="s">
        <v>4464</v>
      </c>
      <c r="I966" s="3236">
        <v>25.02</v>
      </c>
    </row>
    <row r="967" spans="1:9" ht="11.25" hidden="1" customHeight="1" x14ac:dyDescent="0.2">
      <c r="A967" s="3237" t="s">
        <v>4475</v>
      </c>
      <c r="B967" s="3237" t="s">
        <v>4191</v>
      </c>
      <c r="C967" s="3237" t="s">
        <v>4461</v>
      </c>
      <c r="D967" s="3237" t="s">
        <v>4462</v>
      </c>
      <c r="E967" s="3237" t="s">
        <v>4476</v>
      </c>
      <c r="F967" s="3237" t="s">
        <v>3662</v>
      </c>
      <c r="G967" s="3237" t="s">
        <v>3221</v>
      </c>
      <c r="H967" s="3236" t="s">
        <v>4464</v>
      </c>
      <c r="I967" s="3236">
        <v>25.02</v>
      </c>
    </row>
    <row r="968" spans="1:9" ht="11.25" hidden="1" customHeight="1" x14ac:dyDescent="0.2">
      <c r="A968" s="3237" t="s">
        <v>4475</v>
      </c>
      <c r="B968" s="3237" t="s">
        <v>4192</v>
      </c>
      <c r="C968" s="3237" t="s">
        <v>4461</v>
      </c>
      <c r="D968" s="3237" t="s">
        <v>4462</v>
      </c>
      <c r="E968" s="3237" t="s">
        <v>4476</v>
      </c>
      <c r="F968" s="3237" t="s">
        <v>3662</v>
      </c>
      <c r="G968" s="3237" t="s">
        <v>3221</v>
      </c>
      <c r="H968" s="3236" t="s">
        <v>4464</v>
      </c>
      <c r="I968" s="3236">
        <v>25.02</v>
      </c>
    </row>
    <row r="969" spans="1:9" ht="11.25" hidden="1" customHeight="1" x14ac:dyDescent="0.2">
      <c r="A969" s="3237" t="s">
        <v>4475</v>
      </c>
      <c r="B969" s="3237" t="s">
        <v>4193</v>
      </c>
      <c r="C969" s="3237" t="s">
        <v>4461</v>
      </c>
      <c r="D969" s="3237" t="s">
        <v>4462</v>
      </c>
      <c r="E969" s="3237" t="s">
        <v>4476</v>
      </c>
      <c r="F969" s="3237" t="s">
        <v>3662</v>
      </c>
      <c r="G969" s="3237" t="s">
        <v>3221</v>
      </c>
      <c r="H969" s="3236" t="s">
        <v>4464</v>
      </c>
      <c r="I969" s="3236">
        <v>25.02</v>
      </c>
    </row>
    <row r="970" spans="1:9" ht="11.25" hidden="1" customHeight="1" x14ac:dyDescent="0.2">
      <c r="A970" s="3237" t="s">
        <v>4475</v>
      </c>
      <c r="B970" s="3237" t="s">
        <v>4194</v>
      </c>
      <c r="C970" s="3237" t="s">
        <v>4461</v>
      </c>
      <c r="D970" s="3237" t="s">
        <v>4462</v>
      </c>
      <c r="E970" s="3237" t="s">
        <v>4476</v>
      </c>
      <c r="F970" s="3237" t="s">
        <v>3662</v>
      </c>
      <c r="G970" s="3237" t="s">
        <v>3221</v>
      </c>
      <c r="H970" s="3236" t="s">
        <v>4464</v>
      </c>
      <c r="I970" s="3236">
        <v>25.02</v>
      </c>
    </row>
    <row r="971" spans="1:9" ht="11.25" hidden="1" customHeight="1" x14ac:dyDescent="0.2">
      <c r="A971" s="3237" t="s">
        <v>4475</v>
      </c>
      <c r="B971" s="3237" t="s">
        <v>4195</v>
      </c>
      <c r="C971" s="3237" t="s">
        <v>4461</v>
      </c>
      <c r="D971" s="3237" t="s">
        <v>4462</v>
      </c>
      <c r="E971" s="3237" t="s">
        <v>4476</v>
      </c>
      <c r="F971" s="3237" t="s">
        <v>3662</v>
      </c>
      <c r="G971" s="3237" t="s">
        <v>3221</v>
      </c>
      <c r="H971" s="3236" t="s">
        <v>4464</v>
      </c>
      <c r="I971" s="3236">
        <v>29.09</v>
      </c>
    </row>
    <row r="972" spans="1:9" ht="11.25" hidden="1" customHeight="1" x14ac:dyDescent="0.2">
      <c r="A972" s="3237" t="s">
        <v>4475</v>
      </c>
      <c r="B972" s="3237" t="s">
        <v>4196</v>
      </c>
      <c r="C972" s="3237" t="s">
        <v>4461</v>
      </c>
      <c r="D972" s="3237" t="s">
        <v>4462</v>
      </c>
      <c r="E972" s="3237" t="s">
        <v>4476</v>
      </c>
      <c r="F972" s="3237" t="s">
        <v>3662</v>
      </c>
      <c r="G972" s="3237" t="s">
        <v>3221</v>
      </c>
      <c r="H972" s="3236" t="s">
        <v>4464</v>
      </c>
      <c r="I972" s="3236">
        <v>29.09</v>
      </c>
    </row>
    <row r="973" spans="1:9" ht="11.25" hidden="1" customHeight="1" x14ac:dyDescent="0.2">
      <c r="A973" s="3237" t="s">
        <v>4475</v>
      </c>
      <c r="B973" s="3237" t="s">
        <v>4197</v>
      </c>
      <c r="C973" s="3237" t="s">
        <v>4461</v>
      </c>
      <c r="D973" s="3237" t="s">
        <v>4462</v>
      </c>
      <c r="E973" s="3237" t="s">
        <v>4476</v>
      </c>
      <c r="F973" s="3237" t="s">
        <v>3662</v>
      </c>
      <c r="G973" s="3237" t="s">
        <v>3221</v>
      </c>
      <c r="H973" s="3236" t="s">
        <v>4464</v>
      </c>
      <c r="I973" s="3236">
        <v>29.09</v>
      </c>
    </row>
    <row r="974" spans="1:9" ht="11.25" hidden="1" customHeight="1" x14ac:dyDescent="0.2">
      <c r="A974" s="3237" t="s">
        <v>4475</v>
      </c>
      <c r="B974" s="3237" t="s">
        <v>4198</v>
      </c>
      <c r="C974" s="3237" t="s">
        <v>4461</v>
      </c>
      <c r="D974" s="3237" t="s">
        <v>4462</v>
      </c>
      <c r="E974" s="3237" t="s">
        <v>4476</v>
      </c>
      <c r="F974" s="3237" t="s">
        <v>3662</v>
      </c>
      <c r="G974" s="3237" t="s">
        <v>3221</v>
      </c>
      <c r="H974" s="3236" t="s">
        <v>4464</v>
      </c>
      <c r="I974" s="3236">
        <v>29.09</v>
      </c>
    </row>
    <row r="975" spans="1:9" ht="11.25" hidden="1" customHeight="1" x14ac:dyDescent="0.2">
      <c r="A975" s="3237" t="s">
        <v>4475</v>
      </c>
      <c r="B975" s="3237" t="s">
        <v>4199</v>
      </c>
      <c r="C975" s="3237" t="s">
        <v>4461</v>
      </c>
      <c r="D975" s="3237" t="s">
        <v>4462</v>
      </c>
      <c r="E975" s="3237" t="s">
        <v>4476</v>
      </c>
      <c r="F975" s="3237" t="s">
        <v>3662</v>
      </c>
      <c r="G975" s="3237" t="s">
        <v>3221</v>
      </c>
      <c r="H975" s="3236" t="s">
        <v>4464</v>
      </c>
      <c r="I975" s="3236">
        <v>29.09</v>
      </c>
    </row>
    <row r="976" spans="1:9" ht="11.25" hidden="1" customHeight="1" x14ac:dyDescent="0.2">
      <c r="A976" s="3237" t="s">
        <v>4475</v>
      </c>
      <c r="B976" s="3237" t="s">
        <v>4200</v>
      </c>
      <c r="C976" s="3237" t="s">
        <v>4461</v>
      </c>
      <c r="D976" s="3237" t="s">
        <v>4462</v>
      </c>
      <c r="E976" s="3237" t="s">
        <v>4476</v>
      </c>
      <c r="F976" s="3237" t="s">
        <v>3662</v>
      </c>
      <c r="G976" s="3237" t="s">
        <v>3221</v>
      </c>
      <c r="H976" s="3236" t="s">
        <v>4464</v>
      </c>
      <c r="I976" s="3236">
        <v>29.09</v>
      </c>
    </row>
    <row r="977" spans="1:9" ht="11.25" hidden="1" customHeight="1" x14ac:dyDescent="0.2">
      <c r="A977" s="3237" t="s">
        <v>4475</v>
      </c>
      <c r="B977" s="3237" t="s">
        <v>4201</v>
      </c>
      <c r="C977" s="3237" t="s">
        <v>4461</v>
      </c>
      <c r="D977" s="3237" t="s">
        <v>4462</v>
      </c>
      <c r="E977" s="3237" t="s">
        <v>4476</v>
      </c>
      <c r="F977" s="3237" t="s">
        <v>3662</v>
      </c>
      <c r="G977" s="3237" t="s">
        <v>3221</v>
      </c>
      <c r="H977" s="3236" t="s">
        <v>4464</v>
      </c>
      <c r="I977" s="3236">
        <v>29.09</v>
      </c>
    </row>
    <row r="978" spans="1:9" ht="11.25" hidden="1" customHeight="1" x14ac:dyDescent="0.2">
      <c r="A978" s="3237" t="s">
        <v>4475</v>
      </c>
      <c r="B978" s="3237" t="s">
        <v>4202</v>
      </c>
      <c r="C978" s="3237" t="s">
        <v>4461</v>
      </c>
      <c r="D978" s="3237" t="s">
        <v>4462</v>
      </c>
      <c r="E978" s="3237" t="s">
        <v>4476</v>
      </c>
      <c r="F978" s="3237" t="s">
        <v>3662</v>
      </c>
      <c r="G978" s="3237" t="s">
        <v>3221</v>
      </c>
      <c r="H978" s="3236" t="s">
        <v>4464</v>
      </c>
      <c r="I978" s="3236">
        <v>29.09</v>
      </c>
    </row>
    <row r="979" spans="1:9" ht="11.25" hidden="1" customHeight="1" x14ac:dyDescent="0.2">
      <c r="A979" s="3237" t="s">
        <v>4475</v>
      </c>
      <c r="B979" s="3237" t="s">
        <v>4203</v>
      </c>
      <c r="C979" s="3237" t="s">
        <v>4461</v>
      </c>
      <c r="D979" s="3237" t="s">
        <v>4462</v>
      </c>
      <c r="E979" s="3237" t="s">
        <v>4476</v>
      </c>
      <c r="F979" s="3237" t="s">
        <v>3662</v>
      </c>
      <c r="G979" s="3237" t="s">
        <v>3221</v>
      </c>
      <c r="H979" s="3236" t="s">
        <v>4464</v>
      </c>
      <c r="I979" s="3236">
        <v>29.09</v>
      </c>
    </row>
    <row r="980" spans="1:9" ht="11.25" hidden="1" customHeight="1" x14ac:dyDescent="0.2">
      <c r="A980" s="3237" t="s">
        <v>4475</v>
      </c>
      <c r="B980" s="3237" t="s">
        <v>4204</v>
      </c>
      <c r="C980" s="3237" t="s">
        <v>4461</v>
      </c>
      <c r="D980" s="3237" t="s">
        <v>4462</v>
      </c>
      <c r="E980" s="3237" t="s">
        <v>4476</v>
      </c>
      <c r="F980" s="3237" t="s">
        <v>3662</v>
      </c>
      <c r="G980" s="3237" t="s">
        <v>3221</v>
      </c>
      <c r="H980" s="3236" t="s">
        <v>4464</v>
      </c>
      <c r="I980" s="3236">
        <v>29.09</v>
      </c>
    </row>
    <row r="981" spans="1:9" ht="11.25" hidden="1" customHeight="1" x14ac:dyDescent="0.2">
      <c r="A981" s="3237" t="s">
        <v>4475</v>
      </c>
      <c r="B981" s="3237" t="s">
        <v>4205</v>
      </c>
      <c r="C981" s="3237" t="s">
        <v>4461</v>
      </c>
      <c r="D981" s="3237" t="s">
        <v>4462</v>
      </c>
      <c r="E981" s="3237" t="s">
        <v>4476</v>
      </c>
      <c r="F981" s="3237" t="s">
        <v>3662</v>
      </c>
      <c r="G981" s="3237" t="s">
        <v>3221</v>
      </c>
      <c r="H981" s="3236" t="s">
        <v>4464</v>
      </c>
      <c r="I981" s="3236">
        <v>29.09</v>
      </c>
    </row>
    <row r="982" spans="1:9" ht="11.25" hidden="1" customHeight="1" x14ac:dyDescent="0.2">
      <c r="A982" s="3237" t="s">
        <v>4475</v>
      </c>
      <c r="B982" s="3237" t="s">
        <v>4319</v>
      </c>
      <c r="C982" s="3237" t="s">
        <v>4461</v>
      </c>
      <c r="D982" s="3237" t="s">
        <v>4462</v>
      </c>
      <c r="E982" s="3237" t="s">
        <v>4476</v>
      </c>
      <c r="F982" s="3237" t="s">
        <v>4444</v>
      </c>
      <c r="G982" s="3237" t="s">
        <v>3221</v>
      </c>
      <c r="H982" s="3236" t="s">
        <v>4464</v>
      </c>
      <c r="I982" s="3236">
        <v>29.09</v>
      </c>
    </row>
    <row r="983" spans="1:9" ht="11.25" hidden="1" customHeight="1" x14ac:dyDescent="0.2">
      <c r="A983" s="3237" t="s">
        <v>4475</v>
      </c>
      <c r="B983" s="3237" t="s">
        <v>4320</v>
      </c>
      <c r="C983" s="3237" t="s">
        <v>4461</v>
      </c>
      <c r="D983" s="3237" t="s">
        <v>4462</v>
      </c>
      <c r="E983" s="3237" t="s">
        <v>4476</v>
      </c>
      <c r="F983" s="3237" t="s">
        <v>4444</v>
      </c>
      <c r="G983" s="3237" t="s">
        <v>3221</v>
      </c>
      <c r="H983" s="3236" t="s">
        <v>4464</v>
      </c>
      <c r="I983" s="3236">
        <v>29.09</v>
      </c>
    </row>
    <row r="984" spans="1:9" ht="11.25" hidden="1" customHeight="1" x14ac:dyDescent="0.2">
      <c r="A984" s="3237" t="s">
        <v>4475</v>
      </c>
      <c r="B984" s="3237" t="s">
        <v>4321</v>
      </c>
      <c r="C984" s="3237" t="s">
        <v>4461</v>
      </c>
      <c r="D984" s="3237" t="s">
        <v>4462</v>
      </c>
      <c r="E984" s="3237" t="s">
        <v>4476</v>
      </c>
      <c r="F984" s="3237" t="s">
        <v>4444</v>
      </c>
      <c r="G984" s="3237" t="s">
        <v>3221</v>
      </c>
      <c r="H984" s="3236" t="s">
        <v>4464</v>
      </c>
      <c r="I984" s="3236">
        <v>29.09</v>
      </c>
    </row>
    <row r="985" spans="1:9" ht="11.25" hidden="1" customHeight="1" x14ac:dyDescent="0.2">
      <c r="A985" s="3237" t="s">
        <v>4475</v>
      </c>
      <c r="B985" s="3237" t="s">
        <v>4322</v>
      </c>
      <c r="C985" s="3237" t="s">
        <v>4461</v>
      </c>
      <c r="D985" s="3237" t="s">
        <v>4462</v>
      </c>
      <c r="E985" s="3237" t="s">
        <v>4476</v>
      </c>
      <c r="F985" s="3237" t="s">
        <v>4444</v>
      </c>
      <c r="G985" s="3237" t="s">
        <v>3221</v>
      </c>
      <c r="H985" s="3236" t="s">
        <v>4464</v>
      </c>
      <c r="I985" s="3236">
        <v>29.09</v>
      </c>
    </row>
    <row r="986" spans="1:9" ht="11.25" hidden="1" customHeight="1" x14ac:dyDescent="0.2">
      <c r="A986" s="3237" t="s">
        <v>4475</v>
      </c>
      <c r="B986" s="3237" t="s">
        <v>4323</v>
      </c>
      <c r="C986" s="3237" t="s">
        <v>4461</v>
      </c>
      <c r="D986" s="3237" t="s">
        <v>4462</v>
      </c>
      <c r="E986" s="3237" t="s">
        <v>4476</v>
      </c>
      <c r="F986" s="3237" t="s">
        <v>4444</v>
      </c>
      <c r="G986" s="3237" t="s">
        <v>3221</v>
      </c>
      <c r="H986" s="3236" t="s">
        <v>4464</v>
      </c>
      <c r="I986" s="3236">
        <v>29.09</v>
      </c>
    </row>
    <row r="987" spans="1:9" ht="11.25" hidden="1" customHeight="1" x14ac:dyDescent="0.2">
      <c r="A987" s="3237" t="s">
        <v>4475</v>
      </c>
      <c r="B987" s="3237" t="s">
        <v>4324</v>
      </c>
      <c r="C987" s="3237" t="s">
        <v>4461</v>
      </c>
      <c r="D987" s="3237" t="s">
        <v>4462</v>
      </c>
      <c r="E987" s="3237" t="s">
        <v>4476</v>
      </c>
      <c r="F987" s="3237" t="s">
        <v>4444</v>
      </c>
      <c r="G987" s="3237" t="s">
        <v>3221</v>
      </c>
      <c r="H987" s="3236" t="s">
        <v>4464</v>
      </c>
      <c r="I987" s="3236">
        <v>29.09</v>
      </c>
    </row>
    <row r="988" spans="1:9" ht="11.25" hidden="1" customHeight="1" x14ac:dyDescent="0.2">
      <c r="A988" s="3237" t="s">
        <v>4475</v>
      </c>
      <c r="B988" s="3237" t="s">
        <v>4325</v>
      </c>
      <c r="C988" s="3237" t="s">
        <v>4461</v>
      </c>
      <c r="D988" s="3237" t="s">
        <v>4462</v>
      </c>
      <c r="E988" s="3237" t="s">
        <v>4476</v>
      </c>
      <c r="F988" s="3237" t="s">
        <v>4444</v>
      </c>
      <c r="G988" s="3237" t="s">
        <v>3221</v>
      </c>
      <c r="H988" s="3236" t="s">
        <v>4464</v>
      </c>
      <c r="I988" s="3236">
        <v>29.09</v>
      </c>
    </row>
    <row r="989" spans="1:9" ht="11.25" hidden="1" customHeight="1" x14ac:dyDescent="0.2">
      <c r="A989" s="3237" t="s">
        <v>4475</v>
      </c>
      <c r="B989" s="3237" t="s">
        <v>4326</v>
      </c>
      <c r="C989" s="3237" t="s">
        <v>4461</v>
      </c>
      <c r="D989" s="3237" t="s">
        <v>4462</v>
      </c>
      <c r="E989" s="3237" t="s">
        <v>4476</v>
      </c>
      <c r="F989" s="3237" t="s">
        <v>4444</v>
      </c>
      <c r="G989" s="3237" t="s">
        <v>3221</v>
      </c>
      <c r="H989" s="3236" t="s">
        <v>4464</v>
      </c>
      <c r="I989" s="3236">
        <v>29.09</v>
      </c>
    </row>
    <row r="990" spans="1:9" ht="11.25" hidden="1" customHeight="1" x14ac:dyDescent="0.2">
      <c r="A990" s="3237" t="s">
        <v>4475</v>
      </c>
      <c r="B990" s="3237" t="s">
        <v>4327</v>
      </c>
      <c r="C990" s="3237" t="s">
        <v>4461</v>
      </c>
      <c r="D990" s="3237" t="s">
        <v>4462</v>
      </c>
      <c r="E990" s="3237" t="s">
        <v>4476</v>
      </c>
      <c r="F990" s="3237" t="s">
        <v>4444</v>
      </c>
      <c r="G990" s="3237" t="s">
        <v>3221</v>
      </c>
      <c r="H990" s="3236" t="s">
        <v>4464</v>
      </c>
      <c r="I990" s="3236">
        <v>29.09</v>
      </c>
    </row>
    <row r="991" spans="1:9" ht="11.25" hidden="1" customHeight="1" x14ac:dyDescent="0.2">
      <c r="A991" s="3237" t="s">
        <v>4475</v>
      </c>
      <c r="B991" s="3237" t="s">
        <v>4328</v>
      </c>
      <c r="C991" s="3237" t="s">
        <v>4461</v>
      </c>
      <c r="D991" s="3237" t="s">
        <v>4462</v>
      </c>
      <c r="E991" s="3237" t="s">
        <v>4476</v>
      </c>
      <c r="F991" s="3237" t="s">
        <v>4444</v>
      </c>
      <c r="G991" s="3237" t="s">
        <v>3221</v>
      </c>
      <c r="H991" s="3236" t="s">
        <v>4464</v>
      </c>
      <c r="I991" s="3236">
        <v>29.09</v>
      </c>
    </row>
    <row r="992" spans="1:9" ht="11.25" hidden="1" customHeight="1" x14ac:dyDescent="0.2">
      <c r="A992" s="3237" t="s">
        <v>4475</v>
      </c>
      <c r="B992" s="3237" t="s">
        <v>4329</v>
      </c>
      <c r="C992" s="3237" t="s">
        <v>4461</v>
      </c>
      <c r="D992" s="3237" t="s">
        <v>4462</v>
      </c>
      <c r="E992" s="3237" t="s">
        <v>4476</v>
      </c>
      <c r="F992" s="3237" t="s">
        <v>4444</v>
      </c>
      <c r="G992" s="3237" t="s">
        <v>3221</v>
      </c>
      <c r="H992" s="3236" t="s">
        <v>4464</v>
      </c>
      <c r="I992" s="3236">
        <v>29.09</v>
      </c>
    </row>
    <row r="993" spans="1:9" ht="11.25" hidden="1" customHeight="1" x14ac:dyDescent="0.2">
      <c r="A993" s="3237" t="s">
        <v>4475</v>
      </c>
      <c r="B993" s="3237" t="s">
        <v>4330</v>
      </c>
      <c r="C993" s="3237" t="s">
        <v>4461</v>
      </c>
      <c r="D993" s="3237" t="s">
        <v>4462</v>
      </c>
      <c r="E993" s="3237" t="s">
        <v>4476</v>
      </c>
      <c r="F993" s="3237" t="s">
        <v>4444</v>
      </c>
      <c r="G993" s="3237" t="s">
        <v>3221</v>
      </c>
      <c r="H993" s="3236" t="s">
        <v>4464</v>
      </c>
      <c r="I993" s="3236">
        <v>29.09</v>
      </c>
    </row>
    <row r="994" spans="1:9" ht="11.25" hidden="1" customHeight="1" x14ac:dyDescent="0.2">
      <c r="A994" s="3237" t="s">
        <v>4475</v>
      </c>
      <c r="B994" s="3237" t="s">
        <v>4331</v>
      </c>
      <c r="C994" s="3237" t="s">
        <v>4461</v>
      </c>
      <c r="D994" s="3237" t="s">
        <v>4462</v>
      </c>
      <c r="E994" s="3237" t="s">
        <v>4476</v>
      </c>
      <c r="F994" s="3237" t="s">
        <v>4444</v>
      </c>
      <c r="G994" s="3237" t="s">
        <v>3221</v>
      </c>
      <c r="H994" s="3236" t="s">
        <v>4464</v>
      </c>
      <c r="I994" s="3236">
        <v>29.09</v>
      </c>
    </row>
    <row r="995" spans="1:9" ht="11.25" hidden="1" customHeight="1" x14ac:dyDescent="0.2">
      <c r="A995" s="3237" t="s">
        <v>4475</v>
      </c>
      <c r="B995" s="3237" t="s">
        <v>4206</v>
      </c>
      <c r="C995" s="3237" t="s">
        <v>4461</v>
      </c>
      <c r="D995" s="3237" t="s">
        <v>4462</v>
      </c>
      <c r="E995" s="3237" t="s">
        <v>4476</v>
      </c>
      <c r="F995" s="3237" t="s">
        <v>3662</v>
      </c>
      <c r="G995" s="3237" t="s">
        <v>3221</v>
      </c>
      <c r="H995" s="3236" t="s">
        <v>4464</v>
      </c>
      <c r="I995" s="3236">
        <v>29.09</v>
      </c>
    </row>
    <row r="996" spans="1:9" ht="11.25" hidden="1" customHeight="1" x14ac:dyDescent="0.2">
      <c r="A996" s="3237" t="s">
        <v>4475</v>
      </c>
      <c r="B996" s="3237" t="s">
        <v>4207</v>
      </c>
      <c r="C996" s="3237" t="s">
        <v>4461</v>
      </c>
      <c r="D996" s="3237" t="s">
        <v>4462</v>
      </c>
      <c r="E996" s="3237" t="s">
        <v>4476</v>
      </c>
      <c r="F996" s="3237" t="s">
        <v>3662</v>
      </c>
      <c r="G996" s="3237" t="s">
        <v>3221</v>
      </c>
      <c r="H996" s="3236" t="s">
        <v>4464</v>
      </c>
      <c r="I996" s="3236">
        <v>29.09</v>
      </c>
    </row>
    <row r="997" spans="1:9" ht="11.25" hidden="1" customHeight="1" x14ac:dyDescent="0.2">
      <c r="A997" s="3237" t="s">
        <v>4475</v>
      </c>
      <c r="B997" s="3237" t="s">
        <v>4208</v>
      </c>
      <c r="C997" s="3237" t="s">
        <v>4461</v>
      </c>
      <c r="D997" s="3237" t="s">
        <v>4462</v>
      </c>
      <c r="E997" s="3237" t="s">
        <v>4476</v>
      </c>
      <c r="F997" s="3237" t="s">
        <v>3662</v>
      </c>
      <c r="G997" s="3237" t="s">
        <v>3221</v>
      </c>
      <c r="H997" s="3236" t="s">
        <v>4464</v>
      </c>
      <c r="I997" s="3236">
        <v>29.09</v>
      </c>
    </row>
    <row r="998" spans="1:9" ht="11.25" hidden="1" customHeight="1" x14ac:dyDescent="0.2">
      <c r="A998" s="3237" t="s">
        <v>4475</v>
      </c>
      <c r="B998" s="3237" t="s">
        <v>4209</v>
      </c>
      <c r="C998" s="3237" t="s">
        <v>4461</v>
      </c>
      <c r="D998" s="3237" t="s">
        <v>4462</v>
      </c>
      <c r="E998" s="3237" t="s">
        <v>4476</v>
      </c>
      <c r="F998" s="3237" t="s">
        <v>3662</v>
      </c>
      <c r="G998" s="3237" t="s">
        <v>3221</v>
      </c>
      <c r="H998" s="3236" t="s">
        <v>4464</v>
      </c>
      <c r="I998" s="3236">
        <v>29.09</v>
      </c>
    </row>
    <row r="999" spans="1:9" ht="11.25" hidden="1" customHeight="1" x14ac:dyDescent="0.2">
      <c r="A999" s="3237" t="s">
        <v>4475</v>
      </c>
      <c r="B999" s="3237" t="s">
        <v>4210</v>
      </c>
      <c r="C999" s="3237" t="s">
        <v>4461</v>
      </c>
      <c r="D999" s="3237" t="s">
        <v>4462</v>
      </c>
      <c r="E999" s="3237" t="s">
        <v>4476</v>
      </c>
      <c r="F999" s="3237" t="s">
        <v>3662</v>
      </c>
      <c r="G999" s="3237" t="s">
        <v>3221</v>
      </c>
      <c r="H999" s="3236" t="s">
        <v>4464</v>
      </c>
      <c r="I999" s="3236">
        <v>29.09</v>
      </c>
    </row>
    <row r="1000" spans="1:9" ht="11.25" hidden="1" customHeight="1" x14ac:dyDescent="0.2">
      <c r="A1000" s="3237" t="s">
        <v>4475</v>
      </c>
      <c r="B1000" s="3237" t="s">
        <v>4211</v>
      </c>
      <c r="C1000" s="3237" t="s">
        <v>4461</v>
      </c>
      <c r="D1000" s="3237" t="s">
        <v>4462</v>
      </c>
      <c r="E1000" s="3237" t="s">
        <v>4476</v>
      </c>
      <c r="F1000" s="3237" t="s">
        <v>3662</v>
      </c>
      <c r="G1000" s="3237" t="s">
        <v>3221</v>
      </c>
      <c r="H1000" s="3236" t="s">
        <v>4464</v>
      </c>
      <c r="I1000" s="3236">
        <v>29.09</v>
      </c>
    </row>
    <row r="1001" spans="1:9" ht="11.25" hidden="1" customHeight="1" x14ac:dyDescent="0.2">
      <c r="A1001" s="3237" t="s">
        <v>4475</v>
      </c>
      <c r="B1001" s="3237" t="s">
        <v>4212</v>
      </c>
      <c r="C1001" s="3237" t="s">
        <v>4461</v>
      </c>
      <c r="D1001" s="3237" t="s">
        <v>4462</v>
      </c>
      <c r="E1001" s="3237" t="s">
        <v>4476</v>
      </c>
      <c r="F1001" s="3237" t="s">
        <v>3662</v>
      </c>
      <c r="G1001" s="3237" t="s">
        <v>3221</v>
      </c>
      <c r="H1001" s="3236" t="s">
        <v>4464</v>
      </c>
      <c r="I1001" s="3236">
        <v>29.09</v>
      </c>
    </row>
    <row r="1002" spans="1:9" ht="11.25" hidden="1" customHeight="1" x14ac:dyDescent="0.2">
      <c r="A1002" s="3237" t="s">
        <v>4475</v>
      </c>
      <c r="B1002" s="3237" t="s">
        <v>4213</v>
      </c>
      <c r="C1002" s="3237" t="s">
        <v>4461</v>
      </c>
      <c r="D1002" s="3237" t="s">
        <v>4462</v>
      </c>
      <c r="E1002" s="3237" t="s">
        <v>4476</v>
      </c>
      <c r="F1002" s="3237" t="s">
        <v>3662</v>
      </c>
      <c r="G1002" s="3237" t="s">
        <v>3221</v>
      </c>
      <c r="H1002" s="3236" t="s">
        <v>4464</v>
      </c>
      <c r="I1002" s="3236">
        <v>29.09</v>
      </c>
    </row>
    <row r="1003" spans="1:9" ht="11.25" hidden="1" customHeight="1" x14ac:dyDescent="0.2">
      <c r="A1003" s="3237" t="s">
        <v>4475</v>
      </c>
      <c r="B1003" s="3237" t="s">
        <v>4214</v>
      </c>
      <c r="C1003" s="3237" t="s">
        <v>4461</v>
      </c>
      <c r="D1003" s="3237" t="s">
        <v>4462</v>
      </c>
      <c r="E1003" s="3237" t="s">
        <v>4476</v>
      </c>
      <c r="F1003" s="3237" t="s">
        <v>3662</v>
      </c>
      <c r="G1003" s="3237" t="s">
        <v>3221</v>
      </c>
      <c r="H1003" s="3236" t="s">
        <v>4464</v>
      </c>
      <c r="I1003" s="3236">
        <v>29.09</v>
      </c>
    </row>
    <row r="1004" spans="1:9" ht="11.25" hidden="1" customHeight="1" x14ac:dyDescent="0.2">
      <c r="A1004" s="3237" t="s">
        <v>4475</v>
      </c>
      <c r="B1004" s="3237" t="s">
        <v>4215</v>
      </c>
      <c r="C1004" s="3237" t="s">
        <v>4461</v>
      </c>
      <c r="D1004" s="3237" t="s">
        <v>4462</v>
      </c>
      <c r="E1004" s="3237" t="s">
        <v>4476</v>
      </c>
      <c r="F1004" s="3237" t="s">
        <v>3662</v>
      </c>
      <c r="G1004" s="3237" t="s">
        <v>3221</v>
      </c>
      <c r="H1004" s="3236" t="s">
        <v>4464</v>
      </c>
      <c r="I1004" s="3236">
        <v>29.09</v>
      </c>
    </row>
    <row r="1005" spans="1:9" ht="11.25" hidden="1" customHeight="1" x14ac:dyDescent="0.2">
      <c r="A1005" s="3237" t="s">
        <v>4475</v>
      </c>
      <c r="B1005" s="3237" t="s">
        <v>4216</v>
      </c>
      <c r="C1005" s="3237" t="s">
        <v>4461</v>
      </c>
      <c r="D1005" s="3237" t="s">
        <v>4462</v>
      </c>
      <c r="E1005" s="3237" t="s">
        <v>4476</v>
      </c>
      <c r="F1005" s="3237" t="s">
        <v>3662</v>
      </c>
      <c r="G1005" s="3237" t="s">
        <v>3221</v>
      </c>
      <c r="H1005" s="3236" t="s">
        <v>4464</v>
      </c>
      <c r="I1005" s="3236">
        <v>29.09</v>
      </c>
    </row>
    <row r="1006" spans="1:9" ht="11.25" hidden="1" customHeight="1" x14ac:dyDescent="0.2">
      <c r="A1006" s="3237" t="s">
        <v>4475</v>
      </c>
      <c r="B1006" s="3237" t="s">
        <v>4217</v>
      </c>
      <c r="C1006" s="3237" t="s">
        <v>4461</v>
      </c>
      <c r="D1006" s="3237" t="s">
        <v>4462</v>
      </c>
      <c r="E1006" s="3237" t="s">
        <v>4476</v>
      </c>
      <c r="F1006" s="3237" t="s">
        <v>3662</v>
      </c>
      <c r="G1006" s="3237" t="s">
        <v>3221</v>
      </c>
      <c r="H1006" s="3236" t="s">
        <v>4464</v>
      </c>
      <c r="I1006" s="3236">
        <v>29.09</v>
      </c>
    </row>
    <row r="1007" spans="1:9" ht="11.25" hidden="1" customHeight="1" x14ac:dyDescent="0.2">
      <c r="A1007" s="3237" t="s">
        <v>4475</v>
      </c>
      <c r="B1007" s="3237" t="s">
        <v>4218</v>
      </c>
      <c r="C1007" s="3237" t="s">
        <v>4461</v>
      </c>
      <c r="D1007" s="3237" t="s">
        <v>4462</v>
      </c>
      <c r="E1007" s="3237" t="s">
        <v>4476</v>
      </c>
      <c r="F1007" s="3237" t="s">
        <v>3662</v>
      </c>
      <c r="G1007" s="3237" t="s">
        <v>3221</v>
      </c>
      <c r="H1007" s="3236" t="s">
        <v>4464</v>
      </c>
      <c r="I1007" s="3236">
        <v>29.09</v>
      </c>
    </row>
    <row r="1008" spans="1:9" ht="11.25" hidden="1" customHeight="1" x14ac:dyDescent="0.2">
      <c r="A1008" s="3237" t="s">
        <v>4475</v>
      </c>
      <c r="B1008" s="3237" t="s">
        <v>4219</v>
      </c>
      <c r="C1008" s="3237" t="s">
        <v>4461</v>
      </c>
      <c r="D1008" s="3237" t="s">
        <v>4462</v>
      </c>
      <c r="E1008" s="3237" t="s">
        <v>4476</v>
      </c>
      <c r="F1008" s="3237" t="s">
        <v>3662</v>
      </c>
      <c r="G1008" s="3237" t="s">
        <v>3221</v>
      </c>
      <c r="H1008" s="3236" t="s">
        <v>4464</v>
      </c>
      <c r="I1008" s="3236">
        <v>29.09</v>
      </c>
    </row>
    <row r="1009" spans="1:9" ht="11.25" hidden="1" customHeight="1" x14ac:dyDescent="0.2">
      <c r="A1009" s="3237" t="s">
        <v>4475</v>
      </c>
      <c r="B1009" s="3237" t="s">
        <v>4220</v>
      </c>
      <c r="C1009" s="3237" t="s">
        <v>4461</v>
      </c>
      <c r="D1009" s="3237" t="s">
        <v>4462</v>
      </c>
      <c r="E1009" s="3237" t="s">
        <v>4476</v>
      </c>
      <c r="F1009" s="3237" t="s">
        <v>3662</v>
      </c>
      <c r="G1009" s="3237" t="s">
        <v>3221</v>
      </c>
      <c r="H1009" s="3236" t="s">
        <v>4464</v>
      </c>
      <c r="I1009" s="3236">
        <v>29.09</v>
      </c>
    </row>
    <row r="1010" spans="1:9" ht="11.25" hidden="1" customHeight="1" x14ac:dyDescent="0.2">
      <c r="A1010" s="3237" t="s">
        <v>4475</v>
      </c>
      <c r="B1010" s="3237" t="s">
        <v>4221</v>
      </c>
      <c r="C1010" s="3237" t="s">
        <v>4461</v>
      </c>
      <c r="D1010" s="3237" t="s">
        <v>4462</v>
      </c>
      <c r="E1010" s="3237" t="s">
        <v>4476</v>
      </c>
      <c r="F1010" s="3237" t="s">
        <v>3662</v>
      </c>
      <c r="G1010" s="3237" t="s">
        <v>3221</v>
      </c>
      <c r="H1010" s="3236" t="s">
        <v>4464</v>
      </c>
      <c r="I1010" s="3236">
        <v>29.09</v>
      </c>
    </row>
    <row r="1011" spans="1:9" ht="11.25" hidden="1" customHeight="1" x14ac:dyDescent="0.2">
      <c r="A1011" s="3237" t="s">
        <v>4475</v>
      </c>
      <c r="B1011" s="3237" t="s">
        <v>4222</v>
      </c>
      <c r="C1011" s="3237" t="s">
        <v>4461</v>
      </c>
      <c r="D1011" s="3237" t="s">
        <v>4462</v>
      </c>
      <c r="E1011" s="3237" t="s">
        <v>4476</v>
      </c>
      <c r="F1011" s="3237" t="s">
        <v>3662</v>
      </c>
      <c r="G1011" s="3237" t="s">
        <v>3221</v>
      </c>
      <c r="H1011" s="3236" t="s">
        <v>4464</v>
      </c>
      <c r="I1011" s="3236">
        <v>29.09</v>
      </c>
    </row>
    <row r="1012" spans="1:9" ht="11.25" hidden="1" customHeight="1" x14ac:dyDescent="0.2">
      <c r="A1012" s="3237" t="s">
        <v>4475</v>
      </c>
      <c r="B1012" s="3237" t="s">
        <v>4223</v>
      </c>
      <c r="C1012" s="3237" t="s">
        <v>4461</v>
      </c>
      <c r="D1012" s="3237" t="s">
        <v>4462</v>
      </c>
      <c r="E1012" s="3237" t="s">
        <v>4476</v>
      </c>
      <c r="F1012" s="3237" t="s">
        <v>3662</v>
      </c>
      <c r="G1012" s="3237" t="s">
        <v>3221</v>
      </c>
      <c r="H1012" s="3236" t="s">
        <v>4464</v>
      </c>
      <c r="I1012" s="3236">
        <v>29.09</v>
      </c>
    </row>
    <row r="1013" spans="1:9" ht="11.25" hidden="1" customHeight="1" x14ac:dyDescent="0.2">
      <c r="A1013" s="3237" t="s">
        <v>4475</v>
      </c>
      <c r="B1013" s="3237" t="s">
        <v>4224</v>
      </c>
      <c r="C1013" s="3237" t="s">
        <v>4461</v>
      </c>
      <c r="D1013" s="3237" t="s">
        <v>4462</v>
      </c>
      <c r="E1013" s="3237" t="s">
        <v>4476</v>
      </c>
      <c r="F1013" s="3237" t="s">
        <v>3662</v>
      </c>
      <c r="G1013" s="3237" t="s">
        <v>3221</v>
      </c>
      <c r="H1013" s="3236" t="s">
        <v>4464</v>
      </c>
      <c r="I1013" s="3236">
        <v>29.09</v>
      </c>
    </row>
    <row r="1014" spans="1:9" ht="11.25" hidden="1" customHeight="1" x14ac:dyDescent="0.2">
      <c r="A1014" s="3237" t="s">
        <v>4475</v>
      </c>
      <c r="B1014" s="3237" t="s">
        <v>4225</v>
      </c>
      <c r="C1014" s="3237" t="s">
        <v>4461</v>
      </c>
      <c r="D1014" s="3237" t="s">
        <v>4462</v>
      </c>
      <c r="E1014" s="3237" t="s">
        <v>4476</v>
      </c>
      <c r="F1014" s="3237" t="s">
        <v>3662</v>
      </c>
      <c r="G1014" s="3237" t="s">
        <v>3221</v>
      </c>
      <c r="H1014" s="3236" t="s">
        <v>4464</v>
      </c>
      <c r="I1014" s="3236">
        <v>29.09</v>
      </c>
    </row>
    <row r="1015" spans="1:9" ht="11.25" hidden="1" customHeight="1" x14ac:dyDescent="0.2">
      <c r="A1015" s="3237" t="s">
        <v>4475</v>
      </c>
      <c r="B1015" s="3237" t="s">
        <v>4226</v>
      </c>
      <c r="C1015" s="3237" t="s">
        <v>4461</v>
      </c>
      <c r="D1015" s="3237" t="s">
        <v>4462</v>
      </c>
      <c r="E1015" s="3237" t="s">
        <v>4476</v>
      </c>
      <c r="F1015" s="3237" t="s">
        <v>3662</v>
      </c>
      <c r="G1015" s="3237" t="s">
        <v>3221</v>
      </c>
      <c r="H1015" s="3236" t="s">
        <v>4464</v>
      </c>
      <c r="I1015" s="3236">
        <v>29.09</v>
      </c>
    </row>
    <row r="1016" spans="1:9" ht="11.25" hidden="1" customHeight="1" x14ac:dyDescent="0.2">
      <c r="A1016" s="3237" t="s">
        <v>4475</v>
      </c>
      <c r="B1016" s="3237" t="s">
        <v>4227</v>
      </c>
      <c r="C1016" s="3237" t="s">
        <v>4461</v>
      </c>
      <c r="D1016" s="3237" t="s">
        <v>4462</v>
      </c>
      <c r="E1016" s="3237" t="s">
        <v>4476</v>
      </c>
      <c r="F1016" s="3237" t="s">
        <v>3662</v>
      </c>
      <c r="G1016" s="3237" t="s">
        <v>3221</v>
      </c>
      <c r="H1016" s="3236" t="s">
        <v>4464</v>
      </c>
      <c r="I1016" s="3236">
        <v>29.09</v>
      </c>
    </row>
    <row r="1017" spans="1:9" ht="11.25" hidden="1" customHeight="1" x14ac:dyDescent="0.2">
      <c r="A1017" s="3237" t="s">
        <v>4475</v>
      </c>
      <c r="B1017" s="3237" t="s">
        <v>4228</v>
      </c>
      <c r="C1017" s="3237" t="s">
        <v>4461</v>
      </c>
      <c r="D1017" s="3237" t="s">
        <v>4462</v>
      </c>
      <c r="E1017" s="3237" t="s">
        <v>4476</v>
      </c>
      <c r="F1017" s="3237" t="s">
        <v>3662</v>
      </c>
      <c r="G1017" s="3237" t="s">
        <v>3221</v>
      </c>
      <c r="H1017" s="3236" t="s">
        <v>4464</v>
      </c>
      <c r="I1017" s="3236">
        <v>29.09</v>
      </c>
    </row>
    <row r="1018" spans="1:9" ht="11.25" hidden="1" customHeight="1" x14ac:dyDescent="0.2">
      <c r="A1018" s="3237" t="s">
        <v>4475</v>
      </c>
      <c r="B1018" s="3237" t="s">
        <v>4229</v>
      </c>
      <c r="C1018" s="3237" t="s">
        <v>4461</v>
      </c>
      <c r="D1018" s="3237" t="s">
        <v>4462</v>
      </c>
      <c r="E1018" s="3237" t="s">
        <v>4476</v>
      </c>
      <c r="F1018" s="3237" t="s">
        <v>3662</v>
      </c>
      <c r="G1018" s="3237" t="s">
        <v>3221</v>
      </c>
      <c r="H1018" s="3236" t="s">
        <v>4464</v>
      </c>
      <c r="I1018" s="3236">
        <v>29.09</v>
      </c>
    </row>
    <row r="1019" spans="1:9" ht="11.25" hidden="1" customHeight="1" x14ac:dyDescent="0.2">
      <c r="A1019" s="3237" t="s">
        <v>4475</v>
      </c>
      <c r="B1019" s="3237" t="s">
        <v>4230</v>
      </c>
      <c r="C1019" s="3237" t="s">
        <v>4461</v>
      </c>
      <c r="D1019" s="3237" t="s">
        <v>4462</v>
      </c>
      <c r="E1019" s="3237" t="s">
        <v>4476</v>
      </c>
      <c r="F1019" s="3237" t="s">
        <v>3662</v>
      </c>
      <c r="G1019" s="3237" t="s">
        <v>3221</v>
      </c>
      <c r="H1019" s="3236" t="s">
        <v>4464</v>
      </c>
      <c r="I1019" s="3236">
        <v>29.09</v>
      </c>
    </row>
    <row r="1020" spans="1:9" ht="11.25" hidden="1" customHeight="1" x14ac:dyDescent="0.2">
      <c r="A1020" s="3237" t="s">
        <v>4475</v>
      </c>
      <c r="B1020" s="3237" t="s">
        <v>4231</v>
      </c>
      <c r="C1020" s="3237" t="s">
        <v>4461</v>
      </c>
      <c r="D1020" s="3237" t="s">
        <v>4462</v>
      </c>
      <c r="E1020" s="3237" t="s">
        <v>4476</v>
      </c>
      <c r="F1020" s="3237" t="s">
        <v>3662</v>
      </c>
      <c r="G1020" s="3237" t="s">
        <v>3221</v>
      </c>
      <c r="H1020" s="3236" t="s">
        <v>4464</v>
      </c>
      <c r="I1020" s="3236">
        <v>29.09</v>
      </c>
    </row>
    <row r="1021" spans="1:9" ht="11.25" hidden="1" customHeight="1" x14ac:dyDescent="0.2">
      <c r="A1021" s="3237" t="s">
        <v>4475</v>
      </c>
      <c r="B1021" s="3237" t="s">
        <v>4232</v>
      </c>
      <c r="C1021" s="3237" t="s">
        <v>4461</v>
      </c>
      <c r="D1021" s="3237" t="s">
        <v>4462</v>
      </c>
      <c r="E1021" s="3237" t="s">
        <v>4476</v>
      </c>
      <c r="F1021" s="3237" t="s">
        <v>3662</v>
      </c>
      <c r="G1021" s="3237" t="s">
        <v>3221</v>
      </c>
      <c r="H1021" s="3236" t="s">
        <v>4464</v>
      </c>
      <c r="I1021" s="3236">
        <v>29.09</v>
      </c>
    </row>
    <row r="1022" spans="1:9" ht="11.25" hidden="1" customHeight="1" x14ac:dyDescent="0.2">
      <c r="A1022" s="3237" t="s">
        <v>4475</v>
      </c>
      <c r="B1022" s="3237" t="s">
        <v>4233</v>
      </c>
      <c r="C1022" s="3237" t="s">
        <v>4461</v>
      </c>
      <c r="D1022" s="3237" t="s">
        <v>4462</v>
      </c>
      <c r="E1022" s="3237" t="s">
        <v>4476</v>
      </c>
      <c r="F1022" s="3237" t="s">
        <v>3662</v>
      </c>
      <c r="G1022" s="3237" t="s">
        <v>3221</v>
      </c>
      <c r="H1022" s="3236" t="s">
        <v>4464</v>
      </c>
      <c r="I1022" s="3236">
        <v>29.09</v>
      </c>
    </row>
    <row r="1023" spans="1:9" ht="11.25" hidden="1" customHeight="1" x14ac:dyDescent="0.2">
      <c r="A1023" s="3237" t="s">
        <v>4475</v>
      </c>
      <c r="B1023" s="3237" t="s">
        <v>4234</v>
      </c>
      <c r="C1023" s="3237" t="s">
        <v>4461</v>
      </c>
      <c r="D1023" s="3237" t="s">
        <v>4462</v>
      </c>
      <c r="E1023" s="3237" t="s">
        <v>4476</v>
      </c>
      <c r="F1023" s="3237" t="s">
        <v>3662</v>
      </c>
      <c r="G1023" s="3237" t="s">
        <v>3221</v>
      </c>
      <c r="H1023" s="3236" t="s">
        <v>4464</v>
      </c>
      <c r="I1023" s="3236">
        <v>29.09</v>
      </c>
    </row>
    <row r="1024" spans="1:9" ht="11.25" hidden="1" customHeight="1" x14ac:dyDescent="0.2">
      <c r="A1024" s="3237" t="s">
        <v>4475</v>
      </c>
      <c r="B1024" s="3237" t="s">
        <v>4235</v>
      </c>
      <c r="C1024" s="3237" t="s">
        <v>4461</v>
      </c>
      <c r="D1024" s="3237" t="s">
        <v>4462</v>
      </c>
      <c r="E1024" s="3237" t="s">
        <v>4476</v>
      </c>
      <c r="F1024" s="3237" t="s">
        <v>3662</v>
      </c>
      <c r="G1024" s="3237" t="s">
        <v>3221</v>
      </c>
      <c r="H1024" s="3236" t="s">
        <v>4464</v>
      </c>
      <c r="I1024" s="3236">
        <v>29.09</v>
      </c>
    </row>
    <row r="1025" spans="1:9" ht="11.25" hidden="1" customHeight="1" x14ac:dyDescent="0.2">
      <c r="A1025" s="3237" t="s">
        <v>4475</v>
      </c>
      <c r="B1025" s="3237" t="s">
        <v>4236</v>
      </c>
      <c r="C1025" s="3237" t="s">
        <v>4461</v>
      </c>
      <c r="D1025" s="3237" t="s">
        <v>4462</v>
      </c>
      <c r="E1025" s="3237" t="s">
        <v>4476</v>
      </c>
      <c r="F1025" s="3237" t="s">
        <v>3662</v>
      </c>
      <c r="G1025" s="3237" t="s">
        <v>3221</v>
      </c>
      <c r="H1025" s="3236" t="s">
        <v>4464</v>
      </c>
      <c r="I1025" s="3236">
        <v>29.09</v>
      </c>
    </row>
    <row r="1026" spans="1:9" ht="11.25" hidden="1" customHeight="1" x14ac:dyDescent="0.2">
      <c r="A1026" s="3237" t="s">
        <v>4475</v>
      </c>
      <c r="B1026" s="3237" t="s">
        <v>4237</v>
      </c>
      <c r="C1026" s="3237" t="s">
        <v>4461</v>
      </c>
      <c r="D1026" s="3237" t="s">
        <v>4462</v>
      </c>
      <c r="E1026" s="3237" t="s">
        <v>4476</v>
      </c>
      <c r="F1026" s="3237" t="s">
        <v>3662</v>
      </c>
      <c r="G1026" s="3237" t="s">
        <v>3221</v>
      </c>
      <c r="H1026" s="3236" t="s">
        <v>4464</v>
      </c>
      <c r="I1026" s="3236">
        <v>29.09</v>
      </c>
    </row>
    <row r="1027" spans="1:9" ht="11.25" hidden="1" customHeight="1" x14ac:dyDescent="0.2">
      <c r="A1027" s="3237" t="s">
        <v>4475</v>
      </c>
      <c r="B1027" s="3237" t="s">
        <v>4238</v>
      </c>
      <c r="C1027" s="3237" t="s">
        <v>4461</v>
      </c>
      <c r="D1027" s="3237" t="s">
        <v>4462</v>
      </c>
      <c r="E1027" s="3237" t="s">
        <v>4476</v>
      </c>
      <c r="F1027" s="3237" t="s">
        <v>3662</v>
      </c>
      <c r="G1027" s="3237" t="s">
        <v>3221</v>
      </c>
      <c r="H1027" s="3236" t="s">
        <v>4464</v>
      </c>
      <c r="I1027" s="3236">
        <v>29.09</v>
      </c>
    </row>
    <row r="1028" spans="1:9" ht="11.25" hidden="1" customHeight="1" x14ac:dyDescent="0.2">
      <c r="A1028" s="3237" t="s">
        <v>4475</v>
      </c>
      <c r="B1028" s="3237" t="s">
        <v>4239</v>
      </c>
      <c r="C1028" s="3237" t="s">
        <v>4461</v>
      </c>
      <c r="D1028" s="3237" t="s">
        <v>4462</v>
      </c>
      <c r="E1028" s="3237" t="s">
        <v>4476</v>
      </c>
      <c r="F1028" s="3237" t="s">
        <v>3662</v>
      </c>
      <c r="G1028" s="3237" t="s">
        <v>3221</v>
      </c>
      <c r="H1028" s="3236" t="s">
        <v>4464</v>
      </c>
      <c r="I1028" s="3236">
        <v>29.09</v>
      </c>
    </row>
    <row r="1029" spans="1:9" ht="11.25" hidden="1" customHeight="1" x14ac:dyDescent="0.2">
      <c r="A1029" s="3237" t="s">
        <v>4475</v>
      </c>
      <c r="B1029" s="3237" t="s">
        <v>4240</v>
      </c>
      <c r="C1029" s="3237" t="s">
        <v>4461</v>
      </c>
      <c r="D1029" s="3237" t="s">
        <v>4462</v>
      </c>
      <c r="E1029" s="3237" t="s">
        <v>4476</v>
      </c>
      <c r="F1029" s="3237" t="s">
        <v>3662</v>
      </c>
      <c r="G1029" s="3237" t="s">
        <v>3221</v>
      </c>
      <c r="H1029" s="3236" t="s">
        <v>4464</v>
      </c>
      <c r="I1029" s="3236">
        <v>29.09</v>
      </c>
    </row>
    <row r="1030" spans="1:9" ht="11.25" hidden="1" customHeight="1" x14ac:dyDescent="0.2">
      <c r="A1030" s="3237" t="s">
        <v>4475</v>
      </c>
      <c r="B1030" s="3237" t="s">
        <v>4241</v>
      </c>
      <c r="C1030" s="3237" t="s">
        <v>4461</v>
      </c>
      <c r="D1030" s="3237" t="s">
        <v>4462</v>
      </c>
      <c r="E1030" s="3237" t="s">
        <v>4476</v>
      </c>
      <c r="F1030" s="3237" t="s">
        <v>3662</v>
      </c>
      <c r="G1030" s="3237" t="s">
        <v>3221</v>
      </c>
      <c r="H1030" s="3236" t="s">
        <v>4464</v>
      </c>
      <c r="I1030" s="3236">
        <v>29.09</v>
      </c>
    </row>
    <row r="1031" spans="1:9" ht="11.25" hidden="1" customHeight="1" x14ac:dyDescent="0.2">
      <c r="A1031" s="3237" t="s">
        <v>4475</v>
      </c>
      <c r="B1031" s="3237" t="s">
        <v>4242</v>
      </c>
      <c r="C1031" s="3237" t="s">
        <v>4461</v>
      </c>
      <c r="D1031" s="3237" t="s">
        <v>4462</v>
      </c>
      <c r="E1031" s="3237" t="s">
        <v>4476</v>
      </c>
      <c r="F1031" s="3237" t="s">
        <v>3662</v>
      </c>
      <c r="G1031" s="3237" t="s">
        <v>3221</v>
      </c>
      <c r="H1031" s="3236" t="s">
        <v>4464</v>
      </c>
      <c r="I1031" s="3236">
        <v>29.09</v>
      </c>
    </row>
    <row r="1032" spans="1:9" ht="11.25" hidden="1" customHeight="1" x14ac:dyDescent="0.2">
      <c r="A1032" s="3237" t="s">
        <v>4475</v>
      </c>
      <c r="B1032" s="3237" t="s">
        <v>4243</v>
      </c>
      <c r="C1032" s="3237" t="s">
        <v>4461</v>
      </c>
      <c r="D1032" s="3237" t="s">
        <v>4462</v>
      </c>
      <c r="E1032" s="3237" t="s">
        <v>4476</v>
      </c>
      <c r="F1032" s="3237" t="s">
        <v>3662</v>
      </c>
      <c r="G1032" s="3237" t="s">
        <v>3221</v>
      </c>
      <c r="H1032" s="3236" t="s">
        <v>4464</v>
      </c>
      <c r="I1032" s="3236">
        <v>29.09</v>
      </c>
    </row>
    <row r="1033" spans="1:9" ht="11.25" hidden="1" customHeight="1" x14ac:dyDescent="0.2">
      <c r="A1033" s="3237" t="s">
        <v>4475</v>
      </c>
      <c r="B1033" s="3237" t="s">
        <v>4244</v>
      </c>
      <c r="C1033" s="3237" t="s">
        <v>4461</v>
      </c>
      <c r="D1033" s="3237" t="s">
        <v>4462</v>
      </c>
      <c r="E1033" s="3237" t="s">
        <v>4476</v>
      </c>
      <c r="F1033" s="3237" t="s">
        <v>3662</v>
      </c>
      <c r="G1033" s="3237" t="s">
        <v>3221</v>
      </c>
      <c r="H1033" s="3236" t="s">
        <v>4464</v>
      </c>
      <c r="I1033" s="3236">
        <v>29.09</v>
      </c>
    </row>
    <row r="1034" spans="1:9" ht="11.25" hidden="1" customHeight="1" x14ac:dyDescent="0.2">
      <c r="A1034" s="3237" t="s">
        <v>4475</v>
      </c>
      <c r="B1034" s="3237" t="s">
        <v>4245</v>
      </c>
      <c r="C1034" s="3237" t="s">
        <v>4461</v>
      </c>
      <c r="D1034" s="3237" t="s">
        <v>4462</v>
      </c>
      <c r="E1034" s="3237" t="s">
        <v>4476</v>
      </c>
      <c r="F1034" s="3237" t="s">
        <v>3662</v>
      </c>
      <c r="G1034" s="3237" t="s">
        <v>3221</v>
      </c>
      <c r="H1034" s="3236" t="s">
        <v>4464</v>
      </c>
      <c r="I1034" s="3236">
        <v>29.09</v>
      </c>
    </row>
    <row r="1035" spans="1:9" ht="11.25" hidden="1" customHeight="1" x14ac:dyDescent="0.2">
      <c r="A1035" s="3237" t="s">
        <v>4475</v>
      </c>
      <c r="B1035" s="3237" t="s">
        <v>4246</v>
      </c>
      <c r="C1035" s="3237" t="s">
        <v>4461</v>
      </c>
      <c r="D1035" s="3237" t="s">
        <v>4462</v>
      </c>
      <c r="E1035" s="3237" t="s">
        <v>4476</v>
      </c>
      <c r="F1035" s="3237" t="s">
        <v>3662</v>
      </c>
      <c r="G1035" s="3237" t="s">
        <v>3221</v>
      </c>
      <c r="H1035" s="3236" t="s">
        <v>4464</v>
      </c>
      <c r="I1035" s="3236">
        <v>29.09</v>
      </c>
    </row>
    <row r="1036" spans="1:9" ht="11.25" hidden="1" customHeight="1" x14ac:dyDescent="0.2">
      <c r="A1036" s="3237" t="s">
        <v>4475</v>
      </c>
      <c r="B1036" s="3237" t="s">
        <v>4247</v>
      </c>
      <c r="C1036" s="3237" t="s">
        <v>4461</v>
      </c>
      <c r="D1036" s="3237" t="s">
        <v>4462</v>
      </c>
      <c r="E1036" s="3237" t="s">
        <v>4476</v>
      </c>
      <c r="F1036" s="3237" t="s">
        <v>3662</v>
      </c>
      <c r="G1036" s="3237" t="s">
        <v>3221</v>
      </c>
      <c r="H1036" s="3236" t="s">
        <v>4464</v>
      </c>
      <c r="I1036" s="3236">
        <v>29.09</v>
      </c>
    </row>
    <row r="1037" spans="1:9" ht="11.25" hidden="1" customHeight="1" x14ac:dyDescent="0.2">
      <c r="A1037" s="3237" t="s">
        <v>4475</v>
      </c>
      <c r="B1037" s="3237" t="s">
        <v>4248</v>
      </c>
      <c r="C1037" s="3237" t="s">
        <v>4461</v>
      </c>
      <c r="D1037" s="3237" t="s">
        <v>4462</v>
      </c>
      <c r="E1037" s="3237" t="s">
        <v>4476</v>
      </c>
      <c r="F1037" s="3237" t="s">
        <v>3662</v>
      </c>
      <c r="G1037" s="3237" t="s">
        <v>3221</v>
      </c>
      <c r="H1037" s="3236" t="s">
        <v>4464</v>
      </c>
      <c r="I1037" s="3236">
        <v>29.09</v>
      </c>
    </row>
    <row r="1038" spans="1:9" ht="11.25" hidden="1" customHeight="1" x14ac:dyDescent="0.2">
      <c r="A1038" s="3237" t="s">
        <v>4475</v>
      </c>
      <c r="B1038" s="3237" t="s">
        <v>4249</v>
      </c>
      <c r="C1038" s="3237" t="s">
        <v>4461</v>
      </c>
      <c r="D1038" s="3237" t="s">
        <v>4462</v>
      </c>
      <c r="E1038" s="3237" t="s">
        <v>4476</v>
      </c>
      <c r="F1038" s="3237" t="s">
        <v>3662</v>
      </c>
      <c r="G1038" s="3237" t="s">
        <v>3221</v>
      </c>
      <c r="H1038" s="3236" t="s">
        <v>4464</v>
      </c>
      <c r="I1038" s="3236">
        <v>29.09</v>
      </c>
    </row>
    <row r="1039" spans="1:9" ht="11.25" hidden="1" customHeight="1" x14ac:dyDescent="0.2">
      <c r="A1039" s="3237" t="s">
        <v>4475</v>
      </c>
      <c r="B1039" s="3237" t="s">
        <v>4250</v>
      </c>
      <c r="C1039" s="3237" t="s">
        <v>4461</v>
      </c>
      <c r="D1039" s="3237" t="s">
        <v>4462</v>
      </c>
      <c r="E1039" s="3237" t="s">
        <v>4476</v>
      </c>
      <c r="F1039" s="3237" t="s">
        <v>3662</v>
      </c>
      <c r="G1039" s="3237" t="s">
        <v>3221</v>
      </c>
      <c r="H1039" s="3236" t="s">
        <v>4464</v>
      </c>
      <c r="I1039" s="3236">
        <v>29.09</v>
      </c>
    </row>
    <row r="1040" spans="1:9" ht="11.25" hidden="1" customHeight="1" x14ac:dyDescent="0.2">
      <c r="A1040" s="3237" t="s">
        <v>4475</v>
      </c>
      <c r="B1040" s="3237" t="s">
        <v>4251</v>
      </c>
      <c r="C1040" s="3237" t="s">
        <v>4461</v>
      </c>
      <c r="D1040" s="3237" t="s">
        <v>4462</v>
      </c>
      <c r="E1040" s="3237" t="s">
        <v>4476</v>
      </c>
      <c r="F1040" s="3237" t="s">
        <v>3662</v>
      </c>
      <c r="G1040" s="3237" t="s">
        <v>3221</v>
      </c>
      <c r="H1040" s="3236" t="s">
        <v>4464</v>
      </c>
      <c r="I1040" s="3236">
        <v>29.09</v>
      </c>
    </row>
    <row r="1041" spans="1:9" ht="11.25" hidden="1" customHeight="1" x14ac:dyDescent="0.2">
      <c r="A1041" s="3237" t="s">
        <v>4475</v>
      </c>
      <c r="B1041" s="3237" t="s">
        <v>4252</v>
      </c>
      <c r="C1041" s="3237" t="s">
        <v>4461</v>
      </c>
      <c r="D1041" s="3237" t="s">
        <v>4462</v>
      </c>
      <c r="E1041" s="3237" t="s">
        <v>4476</v>
      </c>
      <c r="F1041" s="3237" t="s">
        <v>3662</v>
      </c>
      <c r="G1041" s="3237" t="s">
        <v>3221</v>
      </c>
      <c r="H1041" s="3236" t="s">
        <v>4464</v>
      </c>
      <c r="I1041" s="3236">
        <v>29.09</v>
      </c>
    </row>
    <row r="1042" spans="1:9" ht="11.25" hidden="1" customHeight="1" x14ac:dyDescent="0.2">
      <c r="A1042" s="3237" t="s">
        <v>4475</v>
      </c>
      <c r="B1042" s="3237" t="s">
        <v>4253</v>
      </c>
      <c r="C1042" s="3237" t="s">
        <v>4461</v>
      </c>
      <c r="D1042" s="3237" t="s">
        <v>4462</v>
      </c>
      <c r="E1042" s="3237" t="s">
        <v>4476</v>
      </c>
      <c r="F1042" s="3237" t="s">
        <v>3662</v>
      </c>
      <c r="G1042" s="3237" t="s">
        <v>3221</v>
      </c>
      <c r="H1042" s="3236" t="s">
        <v>4464</v>
      </c>
      <c r="I1042" s="3236">
        <v>29.09</v>
      </c>
    </row>
    <row r="1043" spans="1:9" ht="11.25" hidden="1" customHeight="1" x14ac:dyDescent="0.2">
      <c r="A1043" s="3237" t="s">
        <v>4475</v>
      </c>
      <c r="B1043" s="3237" t="s">
        <v>4254</v>
      </c>
      <c r="C1043" s="3237" t="s">
        <v>4461</v>
      </c>
      <c r="D1043" s="3237" t="s">
        <v>4462</v>
      </c>
      <c r="E1043" s="3237" t="s">
        <v>4476</v>
      </c>
      <c r="F1043" s="3237" t="s">
        <v>3662</v>
      </c>
      <c r="G1043" s="3237" t="s">
        <v>3221</v>
      </c>
      <c r="H1043" s="3236" t="s">
        <v>4464</v>
      </c>
      <c r="I1043" s="3236">
        <v>29.09</v>
      </c>
    </row>
    <row r="1044" spans="1:9" ht="11.25" hidden="1" customHeight="1" x14ac:dyDescent="0.2">
      <c r="A1044" s="3237" t="s">
        <v>4475</v>
      </c>
      <c r="B1044" s="3237" t="s">
        <v>4255</v>
      </c>
      <c r="C1044" s="3237" t="s">
        <v>4461</v>
      </c>
      <c r="D1044" s="3237" t="s">
        <v>4462</v>
      </c>
      <c r="E1044" s="3237" t="s">
        <v>4476</v>
      </c>
      <c r="F1044" s="3237" t="s">
        <v>3662</v>
      </c>
      <c r="G1044" s="3237" t="s">
        <v>3221</v>
      </c>
      <c r="H1044" s="3236" t="s">
        <v>4464</v>
      </c>
      <c r="I1044" s="3236">
        <v>29.09</v>
      </c>
    </row>
    <row r="1045" spans="1:9" ht="11.25" hidden="1" customHeight="1" x14ac:dyDescent="0.2">
      <c r="A1045" s="3237" t="s">
        <v>4475</v>
      </c>
      <c r="B1045" s="3237" t="s">
        <v>4256</v>
      </c>
      <c r="C1045" s="3237" t="s">
        <v>4461</v>
      </c>
      <c r="D1045" s="3237" t="s">
        <v>4462</v>
      </c>
      <c r="E1045" s="3237" t="s">
        <v>4476</v>
      </c>
      <c r="F1045" s="3237" t="s">
        <v>3662</v>
      </c>
      <c r="G1045" s="3237" t="s">
        <v>3221</v>
      </c>
      <c r="H1045" s="3236" t="s">
        <v>4464</v>
      </c>
      <c r="I1045" s="3236">
        <v>29.09</v>
      </c>
    </row>
    <row r="1046" spans="1:9" ht="11.25" hidden="1" customHeight="1" x14ac:dyDescent="0.2">
      <c r="A1046" s="3237" t="s">
        <v>4475</v>
      </c>
      <c r="B1046" s="3237" t="s">
        <v>4257</v>
      </c>
      <c r="C1046" s="3237" t="s">
        <v>4461</v>
      </c>
      <c r="D1046" s="3237" t="s">
        <v>4462</v>
      </c>
      <c r="E1046" s="3237" t="s">
        <v>4476</v>
      </c>
      <c r="F1046" s="3237" t="s">
        <v>3662</v>
      </c>
      <c r="G1046" s="3237" t="s">
        <v>3221</v>
      </c>
      <c r="H1046" s="3236" t="s">
        <v>4464</v>
      </c>
      <c r="I1046" s="3236">
        <v>29.09</v>
      </c>
    </row>
    <row r="1047" spans="1:9" ht="11.25" hidden="1" customHeight="1" x14ac:dyDescent="0.2">
      <c r="A1047" s="3237" t="s">
        <v>4475</v>
      </c>
      <c r="B1047" s="3237" t="s">
        <v>4258</v>
      </c>
      <c r="C1047" s="3237" t="s">
        <v>4461</v>
      </c>
      <c r="D1047" s="3237" t="s">
        <v>4462</v>
      </c>
      <c r="E1047" s="3237" t="s">
        <v>4476</v>
      </c>
      <c r="F1047" s="3237" t="s">
        <v>3662</v>
      </c>
      <c r="G1047" s="3237" t="s">
        <v>3221</v>
      </c>
      <c r="H1047" s="3236" t="s">
        <v>4464</v>
      </c>
      <c r="I1047" s="3236">
        <v>29.09</v>
      </c>
    </row>
    <row r="1048" spans="1:9" ht="11.25" hidden="1" customHeight="1" x14ac:dyDescent="0.2">
      <c r="A1048" s="3237" t="s">
        <v>4475</v>
      </c>
      <c r="B1048" s="3237" t="s">
        <v>4259</v>
      </c>
      <c r="C1048" s="3237" t="s">
        <v>4461</v>
      </c>
      <c r="D1048" s="3237" t="s">
        <v>4462</v>
      </c>
      <c r="E1048" s="3237" t="s">
        <v>4476</v>
      </c>
      <c r="F1048" s="3237" t="s">
        <v>3662</v>
      </c>
      <c r="G1048" s="3237" t="s">
        <v>3221</v>
      </c>
      <c r="H1048" s="3236" t="s">
        <v>4464</v>
      </c>
      <c r="I1048" s="3236">
        <v>29.09</v>
      </c>
    </row>
    <row r="1049" spans="1:9" ht="11.25" hidden="1" customHeight="1" x14ac:dyDescent="0.2">
      <c r="A1049" s="3237" t="s">
        <v>4475</v>
      </c>
      <c r="B1049" s="3237" t="s">
        <v>4260</v>
      </c>
      <c r="C1049" s="3237" t="s">
        <v>4461</v>
      </c>
      <c r="D1049" s="3237" t="s">
        <v>4462</v>
      </c>
      <c r="E1049" s="3237" t="s">
        <v>4476</v>
      </c>
      <c r="F1049" s="3237" t="s">
        <v>3662</v>
      </c>
      <c r="G1049" s="3237" t="s">
        <v>3221</v>
      </c>
      <c r="H1049" s="3236" t="s">
        <v>4464</v>
      </c>
      <c r="I1049" s="3236">
        <v>29.09</v>
      </c>
    </row>
    <row r="1050" spans="1:9" ht="11.25" hidden="1" customHeight="1" x14ac:dyDescent="0.2">
      <c r="A1050" s="3237" t="s">
        <v>4475</v>
      </c>
      <c r="B1050" s="3237" t="s">
        <v>4261</v>
      </c>
      <c r="C1050" s="3237" t="s">
        <v>4461</v>
      </c>
      <c r="D1050" s="3237" t="s">
        <v>4462</v>
      </c>
      <c r="E1050" s="3237" t="s">
        <v>4476</v>
      </c>
      <c r="F1050" s="3237" t="s">
        <v>3662</v>
      </c>
      <c r="G1050" s="3237" t="s">
        <v>3221</v>
      </c>
      <c r="H1050" s="3236" t="s">
        <v>4464</v>
      </c>
      <c r="I1050" s="3236">
        <v>29.09</v>
      </c>
    </row>
    <row r="1051" spans="1:9" ht="11.25" hidden="1" customHeight="1" x14ac:dyDescent="0.2">
      <c r="A1051" s="3237" t="s">
        <v>4475</v>
      </c>
      <c r="B1051" s="3237" t="s">
        <v>4262</v>
      </c>
      <c r="C1051" s="3237" t="s">
        <v>4461</v>
      </c>
      <c r="D1051" s="3237" t="s">
        <v>4462</v>
      </c>
      <c r="E1051" s="3237" t="s">
        <v>4476</v>
      </c>
      <c r="F1051" s="3237" t="s">
        <v>3662</v>
      </c>
      <c r="G1051" s="3237" t="s">
        <v>3221</v>
      </c>
      <c r="H1051" s="3236" t="s">
        <v>4464</v>
      </c>
      <c r="I1051" s="3236">
        <v>29.09</v>
      </c>
    </row>
    <row r="1052" spans="1:9" ht="11.25" hidden="1" customHeight="1" x14ac:dyDescent="0.2">
      <c r="A1052" s="3237" t="s">
        <v>4475</v>
      </c>
      <c r="B1052" s="3237" t="s">
        <v>4263</v>
      </c>
      <c r="C1052" s="3237" t="s">
        <v>4461</v>
      </c>
      <c r="D1052" s="3237" t="s">
        <v>4462</v>
      </c>
      <c r="E1052" s="3237" t="s">
        <v>4476</v>
      </c>
      <c r="F1052" s="3237" t="s">
        <v>3662</v>
      </c>
      <c r="G1052" s="3237" t="s">
        <v>3221</v>
      </c>
      <c r="H1052" s="3236" t="s">
        <v>4464</v>
      </c>
      <c r="I1052" s="3236">
        <v>29.09</v>
      </c>
    </row>
    <row r="1053" spans="1:9" ht="11.25" hidden="1" customHeight="1" x14ac:dyDescent="0.2">
      <c r="A1053" s="3237" t="s">
        <v>4475</v>
      </c>
      <c r="B1053" s="3237" t="s">
        <v>4264</v>
      </c>
      <c r="C1053" s="3237" t="s">
        <v>4461</v>
      </c>
      <c r="D1053" s="3237" t="s">
        <v>4462</v>
      </c>
      <c r="E1053" s="3237" t="s">
        <v>4476</v>
      </c>
      <c r="F1053" s="3237" t="s">
        <v>3662</v>
      </c>
      <c r="G1053" s="3237" t="s">
        <v>3221</v>
      </c>
      <c r="H1053" s="3236" t="s">
        <v>4464</v>
      </c>
      <c r="I1053" s="3236">
        <v>29.09</v>
      </c>
    </row>
    <row r="1054" spans="1:9" ht="11.25" hidden="1" customHeight="1" x14ac:dyDescent="0.2">
      <c r="A1054" s="3237" t="s">
        <v>4475</v>
      </c>
      <c r="B1054" s="3237" t="s">
        <v>4265</v>
      </c>
      <c r="C1054" s="3237" t="s">
        <v>4461</v>
      </c>
      <c r="D1054" s="3237" t="s">
        <v>4462</v>
      </c>
      <c r="E1054" s="3237" t="s">
        <v>4476</v>
      </c>
      <c r="F1054" s="3237" t="s">
        <v>3662</v>
      </c>
      <c r="G1054" s="3237" t="s">
        <v>3221</v>
      </c>
      <c r="H1054" s="3236" t="s">
        <v>4464</v>
      </c>
      <c r="I1054" s="3236">
        <v>29.09</v>
      </c>
    </row>
    <row r="1055" spans="1:9" ht="11.25" hidden="1" customHeight="1" x14ac:dyDescent="0.2">
      <c r="A1055" s="3237" t="s">
        <v>4475</v>
      </c>
      <c r="B1055" s="3237" t="s">
        <v>4266</v>
      </c>
      <c r="C1055" s="3237" t="s">
        <v>4461</v>
      </c>
      <c r="D1055" s="3237" t="s">
        <v>4462</v>
      </c>
      <c r="E1055" s="3237" t="s">
        <v>4476</v>
      </c>
      <c r="F1055" s="3237" t="s">
        <v>3662</v>
      </c>
      <c r="G1055" s="3237" t="s">
        <v>3221</v>
      </c>
      <c r="H1055" s="3236" t="s">
        <v>4464</v>
      </c>
      <c r="I1055" s="3236">
        <v>29.09</v>
      </c>
    </row>
    <row r="1056" spans="1:9" ht="11.25" hidden="1" customHeight="1" x14ac:dyDescent="0.2">
      <c r="A1056" s="3237" t="s">
        <v>4475</v>
      </c>
      <c r="B1056" s="3237" t="s">
        <v>4267</v>
      </c>
      <c r="C1056" s="3237" t="s">
        <v>4461</v>
      </c>
      <c r="D1056" s="3237" t="s">
        <v>4462</v>
      </c>
      <c r="E1056" s="3237" t="s">
        <v>4476</v>
      </c>
      <c r="F1056" s="3237" t="s">
        <v>3662</v>
      </c>
      <c r="G1056" s="3237" t="s">
        <v>3221</v>
      </c>
      <c r="H1056" s="3236" t="s">
        <v>4464</v>
      </c>
      <c r="I1056" s="3236">
        <v>29.09</v>
      </c>
    </row>
    <row r="1057" spans="1:9" ht="11.25" hidden="1" customHeight="1" x14ac:dyDescent="0.2">
      <c r="A1057" s="3237" t="s">
        <v>4475</v>
      </c>
      <c r="B1057" s="3237" t="s">
        <v>4268</v>
      </c>
      <c r="C1057" s="3237" t="s">
        <v>4461</v>
      </c>
      <c r="D1057" s="3237" t="s">
        <v>4462</v>
      </c>
      <c r="E1057" s="3237" t="s">
        <v>4476</v>
      </c>
      <c r="F1057" s="3237" t="s">
        <v>3662</v>
      </c>
      <c r="G1057" s="3237" t="s">
        <v>3221</v>
      </c>
      <c r="H1057" s="3236" t="s">
        <v>4464</v>
      </c>
      <c r="I1057" s="3236">
        <v>29.09</v>
      </c>
    </row>
    <row r="1058" spans="1:9" ht="11.25" hidden="1" customHeight="1" x14ac:dyDescent="0.2">
      <c r="A1058" s="3237" t="s">
        <v>4475</v>
      </c>
      <c r="B1058" s="3237" t="s">
        <v>4269</v>
      </c>
      <c r="C1058" s="3237" t="s">
        <v>4461</v>
      </c>
      <c r="D1058" s="3237" t="s">
        <v>4462</v>
      </c>
      <c r="E1058" s="3237" t="s">
        <v>4476</v>
      </c>
      <c r="F1058" s="3237" t="s">
        <v>3662</v>
      </c>
      <c r="G1058" s="3237" t="s">
        <v>3221</v>
      </c>
      <c r="H1058" s="3236" t="s">
        <v>4464</v>
      </c>
      <c r="I1058" s="3236">
        <v>29.09</v>
      </c>
    </row>
    <row r="1059" spans="1:9" ht="11.25" hidden="1" customHeight="1" x14ac:dyDescent="0.2">
      <c r="A1059" s="3237" t="s">
        <v>4475</v>
      </c>
      <c r="B1059" s="3237" t="s">
        <v>4270</v>
      </c>
      <c r="C1059" s="3237" t="s">
        <v>4461</v>
      </c>
      <c r="D1059" s="3237" t="s">
        <v>4462</v>
      </c>
      <c r="E1059" s="3237" t="s">
        <v>4476</v>
      </c>
      <c r="F1059" s="3237" t="s">
        <v>3662</v>
      </c>
      <c r="G1059" s="3237" t="s">
        <v>3221</v>
      </c>
      <c r="H1059" s="3236" t="s">
        <v>4464</v>
      </c>
      <c r="I1059" s="3236">
        <v>29.09</v>
      </c>
    </row>
    <row r="1060" spans="1:9" ht="11.25" hidden="1" customHeight="1" x14ac:dyDescent="0.2">
      <c r="A1060" s="3237" t="s">
        <v>4475</v>
      </c>
      <c r="B1060" s="3237" t="s">
        <v>4271</v>
      </c>
      <c r="C1060" s="3237" t="s">
        <v>4461</v>
      </c>
      <c r="D1060" s="3237" t="s">
        <v>4462</v>
      </c>
      <c r="E1060" s="3237" t="s">
        <v>4476</v>
      </c>
      <c r="F1060" s="3237" t="s">
        <v>3662</v>
      </c>
      <c r="G1060" s="3237" t="s">
        <v>3221</v>
      </c>
      <c r="H1060" s="3236" t="s">
        <v>4464</v>
      </c>
      <c r="I1060" s="3236">
        <v>29.09</v>
      </c>
    </row>
    <row r="1061" spans="1:9" ht="11.25" hidden="1" customHeight="1" x14ac:dyDescent="0.2">
      <c r="A1061" s="3237" t="s">
        <v>4475</v>
      </c>
      <c r="B1061" s="3237" t="s">
        <v>4272</v>
      </c>
      <c r="C1061" s="3237" t="s">
        <v>4461</v>
      </c>
      <c r="D1061" s="3237" t="s">
        <v>4462</v>
      </c>
      <c r="E1061" s="3237" t="s">
        <v>4476</v>
      </c>
      <c r="F1061" s="3237" t="s">
        <v>3662</v>
      </c>
      <c r="G1061" s="3237" t="s">
        <v>3221</v>
      </c>
      <c r="H1061" s="3236" t="s">
        <v>4464</v>
      </c>
      <c r="I1061" s="3236">
        <v>29.09</v>
      </c>
    </row>
    <row r="1062" spans="1:9" ht="11.25" hidden="1" customHeight="1" x14ac:dyDescent="0.2">
      <c r="A1062" s="3237" t="s">
        <v>4475</v>
      </c>
      <c r="B1062" s="3237" t="s">
        <v>4273</v>
      </c>
      <c r="C1062" s="3237" t="s">
        <v>4461</v>
      </c>
      <c r="D1062" s="3237" t="s">
        <v>4462</v>
      </c>
      <c r="E1062" s="3237" t="s">
        <v>4476</v>
      </c>
      <c r="F1062" s="3237" t="s">
        <v>3662</v>
      </c>
      <c r="G1062" s="3237" t="s">
        <v>3221</v>
      </c>
      <c r="H1062" s="3236" t="s">
        <v>4464</v>
      </c>
      <c r="I1062" s="3236">
        <v>29.09</v>
      </c>
    </row>
    <row r="1063" spans="1:9" ht="11.25" hidden="1" customHeight="1" x14ac:dyDescent="0.2">
      <c r="A1063" s="3237" t="s">
        <v>4475</v>
      </c>
      <c r="B1063" s="3237" t="s">
        <v>4274</v>
      </c>
      <c r="C1063" s="3237" t="s">
        <v>4461</v>
      </c>
      <c r="D1063" s="3237" t="s">
        <v>4462</v>
      </c>
      <c r="E1063" s="3237" t="s">
        <v>4476</v>
      </c>
      <c r="F1063" s="3237" t="s">
        <v>3662</v>
      </c>
      <c r="G1063" s="3237" t="s">
        <v>3221</v>
      </c>
      <c r="H1063" s="3236" t="s">
        <v>4464</v>
      </c>
      <c r="I1063" s="3236">
        <v>29.09</v>
      </c>
    </row>
    <row r="1064" spans="1:9" ht="11.25" hidden="1" customHeight="1" x14ac:dyDescent="0.2">
      <c r="A1064" s="3237" t="s">
        <v>4475</v>
      </c>
      <c r="B1064" s="3237" t="s">
        <v>4275</v>
      </c>
      <c r="C1064" s="3237" t="s">
        <v>4461</v>
      </c>
      <c r="D1064" s="3237" t="s">
        <v>4462</v>
      </c>
      <c r="E1064" s="3237" t="s">
        <v>4476</v>
      </c>
      <c r="F1064" s="3237" t="s">
        <v>3662</v>
      </c>
      <c r="G1064" s="3237" t="s">
        <v>3221</v>
      </c>
      <c r="H1064" s="3236" t="s">
        <v>4464</v>
      </c>
      <c r="I1064" s="3236">
        <v>29.09</v>
      </c>
    </row>
    <row r="1065" spans="1:9" ht="11.25" hidden="1" customHeight="1" x14ac:dyDescent="0.2">
      <c r="A1065" s="3237" t="s">
        <v>4475</v>
      </c>
      <c r="B1065" s="3237" t="s">
        <v>4276</v>
      </c>
      <c r="C1065" s="3237" t="s">
        <v>4461</v>
      </c>
      <c r="D1065" s="3237" t="s">
        <v>4462</v>
      </c>
      <c r="E1065" s="3237" t="s">
        <v>4476</v>
      </c>
      <c r="F1065" s="3237" t="s">
        <v>3662</v>
      </c>
      <c r="G1065" s="3237" t="s">
        <v>3221</v>
      </c>
      <c r="H1065" s="3236" t="s">
        <v>4464</v>
      </c>
      <c r="I1065" s="3236">
        <v>29.09</v>
      </c>
    </row>
    <row r="1066" spans="1:9" ht="11.25" hidden="1" customHeight="1" x14ac:dyDescent="0.2">
      <c r="A1066" s="3237" t="s">
        <v>4475</v>
      </c>
      <c r="B1066" s="3237" t="s">
        <v>4277</v>
      </c>
      <c r="C1066" s="3237" t="s">
        <v>4461</v>
      </c>
      <c r="D1066" s="3237" t="s">
        <v>4462</v>
      </c>
      <c r="E1066" s="3237" t="s">
        <v>4476</v>
      </c>
      <c r="F1066" s="3237" t="s">
        <v>3662</v>
      </c>
      <c r="G1066" s="3237" t="s">
        <v>3221</v>
      </c>
      <c r="H1066" s="3236" t="s">
        <v>4464</v>
      </c>
      <c r="I1066" s="3236">
        <v>29.09</v>
      </c>
    </row>
    <row r="1067" spans="1:9" ht="11.25" hidden="1" customHeight="1" x14ac:dyDescent="0.2">
      <c r="A1067" s="3237" t="s">
        <v>4475</v>
      </c>
      <c r="B1067" s="3237" t="s">
        <v>4278</v>
      </c>
      <c r="C1067" s="3237" t="s">
        <v>4461</v>
      </c>
      <c r="D1067" s="3237" t="s">
        <v>4462</v>
      </c>
      <c r="E1067" s="3237" t="s">
        <v>4476</v>
      </c>
      <c r="F1067" s="3237" t="s">
        <v>3662</v>
      </c>
      <c r="G1067" s="3237" t="s">
        <v>3221</v>
      </c>
      <c r="H1067" s="3236" t="s">
        <v>4464</v>
      </c>
      <c r="I1067" s="3236">
        <v>29.09</v>
      </c>
    </row>
    <row r="1068" spans="1:9" ht="11.25" hidden="1" customHeight="1" x14ac:dyDescent="0.2">
      <c r="A1068" s="3237" t="s">
        <v>4475</v>
      </c>
      <c r="B1068" s="3237" t="s">
        <v>4279</v>
      </c>
      <c r="C1068" s="3237" t="s">
        <v>4461</v>
      </c>
      <c r="D1068" s="3237" t="s">
        <v>4462</v>
      </c>
      <c r="E1068" s="3237" t="s">
        <v>4476</v>
      </c>
      <c r="F1068" s="3237" t="s">
        <v>3662</v>
      </c>
      <c r="G1068" s="3237" t="s">
        <v>3221</v>
      </c>
      <c r="H1068" s="3236" t="s">
        <v>4464</v>
      </c>
      <c r="I1068" s="3236">
        <v>29.09</v>
      </c>
    </row>
    <row r="1069" spans="1:9" ht="11.25" hidden="1" customHeight="1" x14ac:dyDescent="0.2">
      <c r="A1069" s="3237" t="s">
        <v>4475</v>
      </c>
      <c r="B1069" s="3237" t="s">
        <v>4280</v>
      </c>
      <c r="C1069" s="3237" t="s">
        <v>4461</v>
      </c>
      <c r="D1069" s="3237" t="s">
        <v>4462</v>
      </c>
      <c r="E1069" s="3237" t="s">
        <v>4476</v>
      </c>
      <c r="F1069" s="3237" t="s">
        <v>3662</v>
      </c>
      <c r="G1069" s="3237" t="s">
        <v>3221</v>
      </c>
      <c r="H1069" s="3236" t="s">
        <v>4464</v>
      </c>
      <c r="I1069" s="3236">
        <v>29.09</v>
      </c>
    </row>
    <row r="1070" spans="1:9" ht="11.25" hidden="1" customHeight="1" x14ac:dyDescent="0.2">
      <c r="A1070" s="3237" t="s">
        <v>4475</v>
      </c>
      <c r="B1070" s="3237" t="s">
        <v>4281</v>
      </c>
      <c r="C1070" s="3237" t="s">
        <v>4461</v>
      </c>
      <c r="D1070" s="3237" t="s">
        <v>4462</v>
      </c>
      <c r="E1070" s="3237" t="s">
        <v>4476</v>
      </c>
      <c r="F1070" s="3237" t="s">
        <v>3662</v>
      </c>
      <c r="G1070" s="3237" t="s">
        <v>3221</v>
      </c>
      <c r="H1070" s="3236" t="s">
        <v>4464</v>
      </c>
      <c r="I1070" s="3236">
        <v>29.09</v>
      </c>
    </row>
    <row r="1071" spans="1:9" ht="11.25" hidden="1" customHeight="1" x14ac:dyDescent="0.2">
      <c r="A1071" s="3237" t="s">
        <v>4475</v>
      </c>
      <c r="B1071" s="3237" t="s">
        <v>4282</v>
      </c>
      <c r="C1071" s="3237" t="s">
        <v>4461</v>
      </c>
      <c r="D1071" s="3237" t="s">
        <v>4462</v>
      </c>
      <c r="E1071" s="3237" t="s">
        <v>4476</v>
      </c>
      <c r="F1071" s="3237" t="s">
        <v>3662</v>
      </c>
      <c r="G1071" s="3237" t="s">
        <v>3221</v>
      </c>
      <c r="H1071" s="3236" t="s">
        <v>4464</v>
      </c>
      <c r="I1071" s="3236">
        <v>29.09</v>
      </c>
    </row>
    <row r="1072" spans="1:9" ht="11.25" hidden="1" customHeight="1" x14ac:dyDescent="0.2">
      <c r="A1072" s="3237" t="s">
        <v>4475</v>
      </c>
      <c r="B1072" s="3237" t="s">
        <v>4283</v>
      </c>
      <c r="C1072" s="3237" t="s">
        <v>4461</v>
      </c>
      <c r="D1072" s="3237" t="s">
        <v>4462</v>
      </c>
      <c r="E1072" s="3237" t="s">
        <v>4476</v>
      </c>
      <c r="F1072" s="3237" t="s">
        <v>3662</v>
      </c>
      <c r="G1072" s="3237" t="s">
        <v>3221</v>
      </c>
      <c r="H1072" s="3236" t="s">
        <v>4464</v>
      </c>
      <c r="I1072" s="3236">
        <v>29.09</v>
      </c>
    </row>
    <row r="1073" spans="1:9" ht="11.25" hidden="1" customHeight="1" x14ac:dyDescent="0.2">
      <c r="A1073" s="3237" t="s">
        <v>4475</v>
      </c>
      <c r="B1073" s="3237" t="s">
        <v>4284</v>
      </c>
      <c r="C1073" s="3237" t="s">
        <v>4461</v>
      </c>
      <c r="D1073" s="3237" t="s">
        <v>4462</v>
      </c>
      <c r="E1073" s="3237" t="s">
        <v>4476</v>
      </c>
      <c r="F1073" s="3237" t="s">
        <v>3662</v>
      </c>
      <c r="G1073" s="3237" t="s">
        <v>3221</v>
      </c>
      <c r="H1073" s="3236" t="s">
        <v>4464</v>
      </c>
      <c r="I1073" s="3236">
        <v>29.09</v>
      </c>
    </row>
    <row r="1074" spans="1:9" ht="11.25" hidden="1" customHeight="1" x14ac:dyDescent="0.2">
      <c r="A1074" s="3237" t="s">
        <v>4475</v>
      </c>
      <c r="B1074" s="3237" t="s">
        <v>4285</v>
      </c>
      <c r="C1074" s="3237" t="s">
        <v>4461</v>
      </c>
      <c r="D1074" s="3237" t="s">
        <v>4462</v>
      </c>
      <c r="E1074" s="3237" t="s">
        <v>4476</v>
      </c>
      <c r="F1074" s="3237" t="s">
        <v>3662</v>
      </c>
      <c r="G1074" s="3237" t="s">
        <v>3221</v>
      </c>
      <c r="H1074" s="3236" t="s">
        <v>4464</v>
      </c>
      <c r="I1074" s="3236">
        <v>29.09</v>
      </c>
    </row>
    <row r="1075" spans="1:9" ht="11.25" hidden="1" customHeight="1" x14ac:dyDescent="0.2">
      <c r="A1075" s="3237" t="s">
        <v>4475</v>
      </c>
      <c r="B1075" s="3237" t="s">
        <v>4286</v>
      </c>
      <c r="C1075" s="3237" t="s">
        <v>4461</v>
      </c>
      <c r="D1075" s="3237" t="s">
        <v>4462</v>
      </c>
      <c r="E1075" s="3237" t="s">
        <v>4476</v>
      </c>
      <c r="F1075" s="3237" t="s">
        <v>3662</v>
      </c>
      <c r="G1075" s="3237" t="s">
        <v>3221</v>
      </c>
      <c r="H1075" s="3236" t="s">
        <v>4464</v>
      </c>
      <c r="I1075" s="3236">
        <v>29.09</v>
      </c>
    </row>
    <row r="1076" spans="1:9" ht="11.25" hidden="1" customHeight="1" x14ac:dyDescent="0.2">
      <c r="A1076" s="3237" t="s">
        <v>4475</v>
      </c>
      <c r="B1076" s="3237" t="s">
        <v>4287</v>
      </c>
      <c r="C1076" s="3237" t="s">
        <v>4461</v>
      </c>
      <c r="D1076" s="3237" t="s">
        <v>4462</v>
      </c>
      <c r="E1076" s="3237" t="s">
        <v>4476</v>
      </c>
      <c r="F1076" s="3237" t="s">
        <v>3662</v>
      </c>
      <c r="G1076" s="3237" t="s">
        <v>3221</v>
      </c>
      <c r="H1076" s="3236" t="s">
        <v>4464</v>
      </c>
      <c r="I1076" s="3236">
        <v>29.09</v>
      </c>
    </row>
    <row r="1077" spans="1:9" ht="11.25" hidden="1" customHeight="1" x14ac:dyDescent="0.2">
      <c r="A1077" s="3237" t="s">
        <v>4475</v>
      </c>
      <c r="B1077" s="3237" t="s">
        <v>4288</v>
      </c>
      <c r="C1077" s="3237" t="s">
        <v>4461</v>
      </c>
      <c r="D1077" s="3237" t="s">
        <v>4462</v>
      </c>
      <c r="E1077" s="3237" t="s">
        <v>4476</v>
      </c>
      <c r="F1077" s="3237" t="s">
        <v>3662</v>
      </c>
      <c r="G1077" s="3237" t="s">
        <v>3221</v>
      </c>
      <c r="H1077" s="3236" t="s">
        <v>4464</v>
      </c>
      <c r="I1077" s="3236">
        <v>29.09</v>
      </c>
    </row>
    <row r="1078" spans="1:9" ht="11.25" hidden="1" customHeight="1" x14ac:dyDescent="0.2">
      <c r="A1078" s="3237" t="s">
        <v>4475</v>
      </c>
      <c r="B1078" s="3237" t="s">
        <v>4289</v>
      </c>
      <c r="C1078" s="3237" t="s">
        <v>4461</v>
      </c>
      <c r="D1078" s="3237" t="s">
        <v>4462</v>
      </c>
      <c r="E1078" s="3237" t="s">
        <v>4476</v>
      </c>
      <c r="F1078" s="3237" t="s">
        <v>3662</v>
      </c>
      <c r="G1078" s="3237" t="s">
        <v>3221</v>
      </c>
      <c r="H1078" s="3236" t="s">
        <v>4464</v>
      </c>
      <c r="I1078" s="3236">
        <v>29.09</v>
      </c>
    </row>
    <row r="1079" spans="1:9" ht="11.25" hidden="1" customHeight="1" x14ac:dyDescent="0.2">
      <c r="A1079" s="3237" t="s">
        <v>4475</v>
      </c>
      <c r="B1079" s="3237" t="s">
        <v>4290</v>
      </c>
      <c r="C1079" s="3237" t="s">
        <v>4461</v>
      </c>
      <c r="D1079" s="3237" t="s">
        <v>4462</v>
      </c>
      <c r="E1079" s="3237" t="s">
        <v>4476</v>
      </c>
      <c r="F1079" s="3237" t="s">
        <v>3662</v>
      </c>
      <c r="G1079" s="3237" t="s">
        <v>3221</v>
      </c>
      <c r="H1079" s="3236" t="s">
        <v>4464</v>
      </c>
      <c r="I1079" s="3236">
        <v>29.09</v>
      </c>
    </row>
    <row r="1080" spans="1:9" ht="11.25" hidden="1" customHeight="1" x14ac:dyDescent="0.2">
      <c r="A1080" s="3237" t="s">
        <v>4475</v>
      </c>
      <c r="B1080" s="3237" t="s">
        <v>4291</v>
      </c>
      <c r="C1080" s="3237" t="s">
        <v>4461</v>
      </c>
      <c r="D1080" s="3237" t="s">
        <v>4462</v>
      </c>
      <c r="E1080" s="3237" t="s">
        <v>4476</v>
      </c>
      <c r="F1080" s="3237" t="s">
        <v>3662</v>
      </c>
      <c r="G1080" s="3237" t="s">
        <v>3221</v>
      </c>
      <c r="H1080" s="3236" t="s">
        <v>4464</v>
      </c>
      <c r="I1080" s="3236">
        <v>29.09</v>
      </c>
    </row>
    <row r="1081" spans="1:9" ht="11.25" hidden="1" customHeight="1" x14ac:dyDescent="0.2">
      <c r="A1081" s="3237" t="s">
        <v>4475</v>
      </c>
      <c r="B1081" s="3237" t="s">
        <v>4292</v>
      </c>
      <c r="C1081" s="3237" t="s">
        <v>4461</v>
      </c>
      <c r="D1081" s="3237" t="s">
        <v>4462</v>
      </c>
      <c r="E1081" s="3237" t="s">
        <v>4476</v>
      </c>
      <c r="F1081" s="3237" t="s">
        <v>3662</v>
      </c>
      <c r="G1081" s="3237" t="s">
        <v>3221</v>
      </c>
      <c r="H1081" s="3236" t="s">
        <v>4464</v>
      </c>
      <c r="I1081" s="3236">
        <v>29.09</v>
      </c>
    </row>
    <row r="1082" spans="1:9" ht="11.25" hidden="1" customHeight="1" x14ac:dyDescent="0.2">
      <c r="A1082" s="3237" t="s">
        <v>4475</v>
      </c>
      <c r="B1082" s="3237" t="s">
        <v>4293</v>
      </c>
      <c r="C1082" s="3237" t="s">
        <v>4461</v>
      </c>
      <c r="D1082" s="3237" t="s">
        <v>4462</v>
      </c>
      <c r="E1082" s="3237" t="s">
        <v>4476</v>
      </c>
      <c r="F1082" s="3237" t="s">
        <v>3662</v>
      </c>
      <c r="G1082" s="3237" t="s">
        <v>3221</v>
      </c>
      <c r="H1082" s="3236" t="s">
        <v>4464</v>
      </c>
      <c r="I1082" s="3236">
        <v>29.09</v>
      </c>
    </row>
    <row r="1083" spans="1:9" ht="11.25" hidden="1" customHeight="1" x14ac:dyDescent="0.2">
      <c r="A1083" s="3237" t="s">
        <v>4475</v>
      </c>
      <c r="B1083" s="3237" t="s">
        <v>4294</v>
      </c>
      <c r="C1083" s="3237" t="s">
        <v>4461</v>
      </c>
      <c r="D1083" s="3237" t="s">
        <v>4462</v>
      </c>
      <c r="E1083" s="3237" t="s">
        <v>4476</v>
      </c>
      <c r="F1083" s="3237" t="s">
        <v>3662</v>
      </c>
      <c r="G1083" s="3237" t="s">
        <v>3221</v>
      </c>
      <c r="H1083" s="3236" t="s">
        <v>4464</v>
      </c>
      <c r="I1083" s="3236">
        <v>29.09</v>
      </c>
    </row>
    <row r="1084" spans="1:9" ht="11.25" hidden="1" customHeight="1" x14ac:dyDescent="0.2">
      <c r="A1084" s="3237" t="s">
        <v>4475</v>
      </c>
      <c r="B1084" s="3237" t="s">
        <v>4295</v>
      </c>
      <c r="C1084" s="3237" t="s">
        <v>4461</v>
      </c>
      <c r="D1084" s="3237" t="s">
        <v>4462</v>
      </c>
      <c r="E1084" s="3237" t="s">
        <v>4476</v>
      </c>
      <c r="F1084" s="3237" t="s">
        <v>3662</v>
      </c>
      <c r="G1084" s="3237" t="s">
        <v>3221</v>
      </c>
      <c r="H1084" s="3236" t="s">
        <v>4464</v>
      </c>
      <c r="I1084" s="3236">
        <v>29.09</v>
      </c>
    </row>
    <row r="1085" spans="1:9" ht="11.25" hidden="1" customHeight="1" x14ac:dyDescent="0.2">
      <c r="A1085" s="3237" t="s">
        <v>4475</v>
      </c>
      <c r="B1085" s="3237" t="s">
        <v>4296</v>
      </c>
      <c r="C1085" s="3237" t="s">
        <v>4461</v>
      </c>
      <c r="D1085" s="3237" t="s">
        <v>4462</v>
      </c>
      <c r="E1085" s="3237" t="s">
        <v>4476</v>
      </c>
      <c r="F1085" s="3237" t="s">
        <v>3662</v>
      </c>
      <c r="G1085" s="3237" t="s">
        <v>3221</v>
      </c>
      <c r="H1085" s="3236" t="s">
        <v>4464</v>
      </c>
      <c r="I1085" s="3236">
        <v>29.09</v>
      </c>
    </row>
    <row r="1086" spans="1:9" ht="11.25" hidden="1" customHeight="1" x14ac:dyDescent="0.2">
      <c r="A1086" s="3237" t="s">
        <v>4475</v>
      </c>
      <c r="B1086" s="3237" t="s">
        <v>4297</v>
      </c>
      <c r="C1086" s="3237" t="s">
        <v>4461</v>
      </c>
      <c r="D1086" s="3237" t="s">
        <v>4462</v>
      </c>
      <c r="E1086" s="3237" t="s">
        <v>4476</v>
      </c>
      <c r="F1086" s="3237" t="s">
        <v>3662</v>
      </c>
      <c r="G1086" s="3237" t="s">
        <v>3221</v>
      </c>
      <c r="H1086" s="3236" t="s">
        <v>4464</v>
      </c>
      <c r="I1086" s="3236">
        <v>29.09</v>
      </c>
    </row>
    <row r="1087" spans="1:9" ht="11.25" hidden="1" customHeight="1" x14ac:dyDescent="0.2">
      <c r="A1087" s="3237" t="s">
        <v>4475</v>
      </c>
      <c r="B1087" s="3237" t="s">
        <v>4298</v>
      </c>
      <c r="C1087" s="3237" t="s">
        <v>4461</v>
      </c>
      <c r="D1087" s="3237" t="s">
        <v>4462</v>
      </c>
      <c r="E1087" s="3237" t="s">
        <v>4476</v>
      </c>
      <c r="F1087" s="3237" t="s">
        <v>3662</v>
      </c>
      <c r="G1087" s="3237" t="s">
        <v>3221</v>
      </c>
      <c r="H1087" s="3236" t="s">
        <v>4464</v>
      </c>
      <c r="I1087" s="3236">
        <v>29.09</v>
      </c>
    </row>
    <row r="1088" spans="1:9" ht="11.25" hidden="1" customHeight="1" x14ac:dyDescent="0.2">
      <c r="A1088" s="3237" t="s">
        <v>4475</v>
      </c>
      <c r="B1088" s="3237" t="s">
        <v>4299</v>
      </c>
      <c r="C1088" s="3237" t="s">
        <v>4461</v>
      </c>
      <c r="D1088" s="3237" t="s">
        <v>4462</v>
      </c>
      <c r="E1088" s="3237" t="s">
        <v>4476</v>
      </c>
      <c r="F1088" s="3237" t="s">
        <v>3662</v>
      </c>
      <c r="G1088" s="3237" t="s">
        <v>3221</v>
      </c>
      <c r="H1088" s="3236" t="s">
        <v>4464</v>
      </c>
      <c r="I1088" s="3236">
        <v>29.09</v>
      </c>
    </row>
    <row r="1089" spans="1:9" ht="11.25" hidden="1" customHeight="1" x14ac:dyDescent="0.2">
      <c r="A1089" s="3237" t="s">
        <v>4475</v>
      </c>
      <c r="B1089" s="3237" t="s">
        <v>4300</v>
      </c>
      <c r="C1089" s="3237" t="s">
        <v>4461</v>
      </c>
      <c r="D1089" s="3237" t="s">
        <v>4462</v>
      </c>
      <c r="E1089" s="3237" t="s">
        <v>4476</v>
      </c>
      <c r="F1089" s="3237" t="s">
        <v>3662</v>
      </c>
      <c r="G1089" s="3237" t="s">
        <v>3221</v>
      </c>
      <c r="H1089" s="3236" t="s">
        <v>4464</v>
      </c>
      <c r="I1089" s="3236">
        <v>29.09</v>
      </c>
    </row>
    <row r="1090" spans="1:9" ht="11.25" hidden="1" customHeight="1" x14ac:dyDescent="0.2">
      <c r="A1090" s="3237" t="s">
        <v>4475</v>
      </c>
      <c r="B1090" s="3237" t="s">
        <v>4301</v>
      </c>
      <c r="C1090" s="3237" t="s">
        <v>4461</v>
      </c>
      <c r="D1090" s="3237" t="s">
        <v>4462</v>
      </c>
      <c r="E1090" s="3237" t="s">
        <v>4476</v>
      </c>
      <c r="F1090" s="3237" t="s">
        <v>3662</v>
      </c>
      <c r="G1090" s="3237" t="s">
        <v>3221</v>
      </c>
      <c r="H1090" s="3236" t="s">
        <v>4464</v>
      </c>
      <c r="I1090" s="3236">
        <v>29.09</v>
      </c>
    </row>
    <row r="1091" spans="1:9" ht="11.25" hidden="1" customHeight="1" x14ac:dyDescent="0.2">
      <c r="A1091" s="3237" t="s">
        <v>4475</v>
      </c>
      <c r="B1091" s="3237" t="s">
        <v>4302</v>
      </c>
      <c r="C1091" s="3237" t="s">
        <v>4461</v>
      </c>
      <c r="D1091" s="3237" t="s">
        <v>4462</v>
      </c>
      <c r="E1091" s="3237" t="s">
        <v>4476</v>
      </c>
      <c r="F1091" s="3237" t="s">
        <v>3662</v>
      </c>
      <c r="G1091" s="3237" t="s">
        <v>3221</v>
      </c>
      <c r="H1091" s="3236" t="s">
        <v>4464</v>
      </c>
      <c r="I1091" s="3236">
        <v>29.09</v>
      </c>
    </row>
    <row r="1092" spans="1:9" ht="11.25" hidden="1" customHeight="1" x14ac:dyDescent="0.2">
      <c r="A1092" s="3237" t="s">
        <v>4475</v>
      </c>
      <c r="B1092" s="3237" t="s">
        <v>4303</v>
      </c>
      <c r="C1092" s="3237" t="s">
        <v>4461</v>
      </c>
      <c r="D1092" s="3237" t="s">
        <v>4462</v>
      </c>
      <c r="E1092" s="3237" t="s">
        <v>4476</v>
      </c>
      <c r="F1092" s="3237" t="s">
        <v>3662</v>
      </c>
      <c r="G1092" s="3237" t="s">
        <v>3221</v>
      </c>
      <c r="H1092" s="3236" t="s">
        <v>4464</v>
      </c>
      <c r="I1092" s="3236">
        <v>29.09</v>
      </c>
    </row>
    <row r="1093" spans="1:9" ht="11.25" hidden="1" customHeight="1" x14ac:dyDescent="0.2">
      <c r="A1093" s="3237" t="s">
        <v>4475</v>
      </c>
      <c r="B1093" s="3237" t="s">
        <v>4304</v>
      </c>
      <c r="C1093" s="3237" t="s">
        <v>4461</v>
      </c>
      <c r="D1093" s="3237" t="s">
        <v>4462</v>
      </c>
      <c r="E1093" s="3237" t="s">
        <v>4476</v>
      </c>
      <c r="F1093" s="3237" t="s">
        <v>3662</v>
      </c>
      <c r="G1093" s="3237" t="s">
        <v>3221</v>
      </c>
      <c r="H1093" s="3236" t="s">
        <v>4464</v>
      </c>
      <c r="I1093" s="3236">
        <v>29.09</v>
      </c>
    </row>
    <row r="1094" spans="1:9" ht="11.25" hidden="1" customHeight="1" x14ac:dyDescent="0.2">
      <c r="A1094" s="3237" t="s">
        <v>4475</v>
      </c>
      <c r="B1094" s="3237" t="s">
        <v>4305</v>
      </c>
      <c r="C1094" s="3237" t="s">
        <v>4461</v>
      </c>
      <c r="D1094" s="3237" t="s">
        <v>4462</v>
      </c>
      <c r="E1094" s="3237" t="s">
        <v>4476</v>
      </c>
      <c r="F1094" s="3237" t="s">
        <v>3662</v>
      </c>
      <c r="G1094" s="3237" t="s">
        <v>3221</v>
      </c>
      <c r="H1094" s="3236" t="s">
        <v>4464</v>
      </c>
      <c r="I1094" s="3236">
        <v>29.09</v>
      </c>
    </row>
    <row r="1095" spans="1:9" ht="11.25" hidden="1" customHeight="1" x14ac:dyDescent="0.2">
      <c r="A1095" s="3237" t="s">
        <v>4475</v>
      </c>
      <c r="B1095" s="3237" t="s">
        <v>4306</v>
      </c>
      <c r="C1095" s="3237" t="s">
        <v>4461</v>
      </c>
      <c r="D1095" s="3237" t="s">
        <v>4462</v>
      </c>
      <c r="E1095" s="3237" t="s">
        <v>4476</v>
      </c>
      <c r="F1095" s="3237" t="s">
        <v>3662</v>
      </c>
      <c r="G1095" s="3237" t="s">
        <v>3221</v>
      </c>
      <c r="H1095" s="3236" t="s">
        <v>4464</v>
      </c>
      <c r="I1095" s="3236">
        <v>29.09</v>
      </c>
    </row>
    <row r="1096" spans="1:9" ht="11.25" hidden="1" customHeight="1" x14ac:dyDescent="0.2">
      <c r="A1096" s="3237" t="s">
        <v>4475</v>
      </c>
      <c r="B1096" s="3237" t="s">
        <v>4307</v>
      </c>
      <c r="C1096" s="3237" t="s">
        <v>4461</v>
      </c>
      <c r="D1096" s="3237" t="s">
        <v>4462</v>
      </c>
      <c r="E1096" s="3237" t="s">
        <v>4476</v>
      </c>
      <c r="F1096" s="3237" t="s">
        <v>3662</v>
      </c>
      <c r="G1096" s="3237" t="s">
        <v>3221</v>
      </c>
      <c r="H1096" s="3236" t="s">
        <v>4464</v>
      </c>
      <c r="I1096" s="3236">
        <v>29.09</v>
      </c>
    </row>
    <row r="1097" spans="1:9" ht="11.25" hidden="1" customHeight="1" x14ac:dyDescent="0.2">
      <c r="A1097" s="3237" t="s">
        <v>4475</v>
      </c>
      <c r="B1097" s="3237" t="s">
        <v>4308</v>
      </c>
      <c r="C1097" s="3237" t="s">
        <v>4461</v>
      </c>
      <c r="D1097" s="3237" t="s">
        <v>4462</v>
      </c>
      <c r="E1097" s="3237" t="s">
        <v>4476</v>
      </c>
      <c r="F1097" s="3237" t="s">
        <v>3662</v>
      </c>
      <c r="G1097" s="3237" t="s">
        <v>3221</v>
      </c>
      <c r="H1097" s="3236" t="s">
        <v>4464</v>
      </c>
      <c r="I1097" s="3236">
        <v>29.09</v>
      </c>
    </row>
    <row r="1098" spans="1:9" ht="11.25" hidden="1" customHeight="1" x14ac:dyDescent="0.2">
      <c r="A1098" s="3237" t="s">
        <v>4475</v>
      </c>
      <c r="B1098" s="3237" t="s">
        <v>4309</v>
      </c>
      <c r="C1098" s="3237" t="s">
        <v>4461</v>
      </c>
      <c r="D1098" s="3237" t="s">
        <v>4462</v>
      </c>
      <c r="E1098" s="3237" t="s">
        <v>4476</v>
      </c>
      <c r="F1098" s="3237" t="s">
        <v>3662</v>
      </c>
      <c r="G1098" s="3237" t="s">
        <v>3221</v>
      </c>
      <c r="H1098" s="3236" t="s">
        <v>4464</v>
      </c>
      <c r="I1098" s="3236">
        <v>29.09</v>
      </c>
    </row>
    <row r="1099" spans="1:9" ht="11.25" hidden="1" customHeight="1" x14ac:dyDescent="0.2">
      <c r="A1099" s="3237" t="s">
        <v>4475</v>
      </c>
      <c r="B1099" s="3237" t="s">
        <v>4310</v>
      </c>
      <c r="C1099" s="3237" t="s">
        <v>4461</v>
      </c>
      <c r="D1099" s="3237" t="s">
        <v>4462</v>
      </c>
      <c r="E1099" s="3237" t="s">
        <v>4476</v>
      </c>
      <c r="F1099" s="3237" t="s">
        <v>3662</v>
      </c>
      <c r="G1099" s="3237" t="s">
        <v>3221</v>
      </c>
      <c r="H1099" s="3236" t="s">
        <v>4464</v>
      </c>
      <c r="I1099" s="3236">
        <v>29.09</v>
      </c>
    </row>
    <row r="1100" spans="1:9" ht="11.25" hidden="1" customHeight="1" x14ac:dyDescent="0.2">
      <c r="A1100" s="3237" t="s">
        <v>4475</v>
      </c>
      <c r="B1100" s="3237" t="s">
        <v>4311</v>
      </c>
      <c r="C1100" s="3237" t="s">
        <v>4461</v>
      </c>
      <c r="D1100" s="3237" t="s">
        <v>4462</v>
      </c>
      <c r="E1100" s="3237" t="s">
        <v>4476</v>
      </c>
      <c r="F1100" s="3237" t="s">
        <v>3662</v>
      </c>
      <c r="G1100" s="3237" t="s">
        <v>3221</v>
      </c>
      <c r="H1100" s="3236" t="s">
        <v>4464</v>
      </c>
      <c r="I1100" s="3236">
        <v>29.09</v>
      </c>
    </row>
    <row r="1101" spans="1:9" ht="11.25" hidden="1" customHeight="1" x14ac:dyDescent="0.2">
      <c r="A1101" s="3237" t="s">
        <v>4475</v>
      </c>
      <c r="B1101" s="3237" t="s">
        <v>4312</v>
      </c>
      <c r="C1101" s="3237" t="s">
        <v>4461</v>
      </c>
      <c r="D1101" s="3237" t="s">
        <v>4462</v>
      </c>
      <c r="E1101" s="3237" t="s">
        <v>4476</v>
      </c>
      <c r="F1101" s="3237" t="s">
        <v>3662</v>
      </c>
      <c r="G1101" s="3237" t="s">
        <v>3221</v>
      </c>
      <c r="H1101" s="3236" t="s">
        <v>4464</v>
      </c>
      <c r="I1101" s="3236">
        <v>29.09</v>
      </c>
    </row>
    <row r="1102" spans="1:9" ht="11.25" hidden="1" customHeight="1" x14ac:dyDescent="0.2">
      <c r="A1102" s="3237" t="s">
        <v>4475</v>
      </c>
      <c r="B1102" s="3237" t="s">
        <v>4313</v>
      </c>
      <c r="C1102" s="3237" t="s">
        <v>4461</v>
      </c>
      <c r="D1102" s="3237" t="s">
        <v>4462</v>
      </c>
      <c r="E1102" s="3237" t="s">
        <v>4476</v>
      </c>
      <c r="F1102" s="3237" t="s">
        <v>3662</v>
      </c>
      <c r="G1102" s="3237" t="s">
        <v>3221</v>
      </c>
      <c r="H1102" s="3236" t="s">
        <v>4464</v>
      </c>
      <c r="I1102" s="3236">
        <v>29.09</v>
      </c>
    </row>
    <row r="1103" spans="1:9" ht="11.25" hidden="1" customHeight="1" x14ac:dyDescent="0.2">
      <c r="A1103" s="3237" t="s">
        <v>4475</v>
      </c>
      <c r="B1103" s="3237" t="s">
        <v>4314</v>
      </c>
      <c r="C1103" s="3237" t="s">
        <v>4461</v>
      </c>
      <c r="D1103" s="3237" t="s">
        <v>4462</v>
      </c>
      <c r="E1103" s="3237" t="s">
        <v>4476</v>
      </c>
      <c r="F1103" s="3237" t="s">
        <v>3662</v>
      </c>
      <c r="G1103" s="3237" t="s">
        <v>3221</v>
      </c>
      <c r="H1103" s="3236" t="s">
        <v>4464</v>
      </c>
      <c r="I1103" s="3236">
        <v>29.09</v>
      </c>
    </row>
    <row r="1104" spans="1:9" ht="11.25" hidden="1" customHeight="1" x14ac:dyDescent="0.2">
      <c r="A1104" s="3237" t="s">
        <v>4475</v>
      </c>
      <c r="B1104" s="3237" t="s">
        <v>4315</v>
      </c>
      <c r="C1104" s="3237" t="s">
        <v>4461</v>
      </c>
      <c r="D1104" s="3237" t="s">
        <v>4462</v>
      </c>
      <c r="E1104" s="3237" t="s">
        <v>4476</v>
      </c>
      <c r="F1104" s="3237" t="s">
        <v>3662</v>
      </c>
      <c r="G1104" s="3237" t="s">
        <v>3221</v>
      </c>
      <c r="H1104" s="3236" t="s">
        <v>4464</v>
      </c>
      <c r="I1104" s="3236">
        <v>29.09</v>
      </c>
    </row>
    <row r="1105" spans="1:9" ht="11.25" hidden="1" customHeight="1" x14ac:dyDescent="0.2">
      <c r="A1105" s="3237" t="s">
        <v>4475</v>
      </c>
      <c r="B1105" s="3237" t="s">
        <v>4316</v>
      </c>
      <c r="C1105" s="3237" t="s">
        <v>4461</v>
      </c>
      <c r="D1105" s="3237" t="s">
        <v>4462</v>
      </c>
      <c r="E1105" s="3237" t="s">
        <v>4476</v>
      </c>
      <c r="F1105" s="3237" t="s">
        <v>3662</v>
      </c>
      <c r="G1105" s="3237" t="s">
        <v>3221</v>
      </c>
      <c r="H1105" s="3236" t="s">
        <v>4464</v>
      </c>
      <c r="I1105" s="3236">
        <v>29.09</v>
      </c>
    </row>
    <row r="1106" spans="1:9" ht="11.25" hidden="1" customHeight="1" x14ac:dyDescent="0.2">
      <c r="A1106" s="3237" t="s">
        <v>4475</v>
      </c>
      <c r="B1106" s="3237" t="s">
        <v>4317</v>
      </c>
      <c r="C1106" s="3237" t="s">
        <v>4461</v>
      </c>
      <c r="D1106" s="3237" t="s">
        <v>4462</v>
      </c>
      <c r="E1106" s="3237" t="s">
        <v>4476</v>
      </c>
      <c r="F1106" s="3237" t="s">
        <v>3662</v>
      </c>
      <c r="G1106" s="3237" t="s">
        <v>3221</v>
      </c>
      <c r="H1106" s="3236" t="s">
        <v>4464</v>
      </c>
      <c r="I1106" s="3236">
        <v>29.09</v>
      </c>
    </row>
    <row r="1107" spans="1:9" ht="11.25" hidden="1" customHeight="1" x14ac:dyDescent="0.2">
      <c r="A1107" s="3237" t="s">
        <v>4475</v>
      </c>
      <c r="B1107" s="3237" t="s">
        <v>4318</v>
      </c>
      <c r="C1107" s="3237" t="s">
        <v>4461</v>
      </c>
      <c r="D1107" s="3237" t="s">
        <v>4462</v>
      </c>
      <c r="E1107" s="3237" t="s">
        <v>4476</v>
      </c>
      <c r="F1107" s="3237" t="s">
        <v>3662</v>
      </c>
      <c r="G1107" s="3237" t="s">
        <v>3221</v>
      </c>
      <c r="H1107" s="3236" t="s">
        <v>4464</v>
      </c>
      <c r="I1107" s="3236">
        <v>29.09</v>
      </c>
    </row>
    <row r="1108" spans="1:9" ht="11.25" hidden="1" customHeight="1" x14ac:dyDescent="0.2">
      <c r="A1108" s="3237" t="s">
        <v>4475</v>
      </c>
      <c r="B1108" s="3237" t="s">
        <v>4332</v>
      </c>
      <c r="C1108" s="3237" t="s">
        <v>4461</v>
      </c>
      <c r="D1108" s="3237" t="s">
        <v>4462</v>
      </c>
      <c r="E1108" s="3237" t="s">
        <v>4476</v>
      </c>
      <c r="F1108" s="3237" t="s">
        <v>4444</v>
      </c>
      <c r="G1108" s="3237" t="s">
        <v>3221</v>
      </c>
      <c r="H1108" s="3236" t="s">
        <v>4464</v>
      </c>
      <c r="I1108" s="3236">
        <v>29.09</v>
      </c>
    </row>
    <row r="1109" spans="1:9" ht="11.25" hidden="1" customHeight="1" x14ac:dyDescent="0.2">
      <c r="A1109" s="3237" t="s">
        <v>4475</v>
      </c>
      <c r="B1109" s="3237" t="s">
        <v>4333</v>
      </c>
      <c r="C1109" s="3237" t="s">
        <v>4461</v>
      </c>
      <c r="D1109" s="3237" t="s">
        <v>4462</v>
      </c>
      <c r="E1109" s="3237" t="s">
        <v>4476</v>
      </c>
      <c r="F1109" s="3237" t="s">
        <v>4444</v>
      </c>
      <c r="G1109" s="3237" t="s">
        <v>3221</v>
      </c>
      <c r="H1109" s="3236" t="s">
        <v>4464</v>
      </c>
      <c r="I1109" s="3236">
        <v>29.09</v>
      </c>
    </row>
    <row r="1110" spans="1:9" ht="11.25" hidden="1" customHeight="1" x14ac:dyDescent="0.2">
      <c r="A1110" s="3237" t="s">
        <v>4475</v>
      </c>
      <c r="B1110" s="3237" t="s">
        <v>4334</v>
      </c>
      <c r="C1110" s="3237" t="s">
        <v>4461</v>
      </c>
      <c r="D1110" s="3237" t="s">
        <v>4462</v>
      </c>
      <c r="E1110" s="3237" t="s">
        <v>4476</v>
      </c>
      <c r="F1110" s="3237" t="s">
        <v>4444</v>
      </c>
      <c r="G1110" s="3237" t="s">
        <v>3221</v>
      </c>
      <c r="H1110" s="3236" t="s">
        <v>4464</v>
      </c>
      <c r="I1110" s="3236">
        <v>29.09</v>
      </c>
    </row>
    <row r="1111" spans="1:9" ht="11.25" hidden="1" customHeight="1" x14ac:dyDescent="0.2">
      <c r="A1111" s="3237" t="s">
        <v>4475</v>
      </c>
      <c r="B1111" s="3237" t="s">
        <v>4335</v>
      </c>
      <c r="C1111" s="3237" t="s">
        <v>4461</v>
      </c>
      <c r="D1111" s="3237" t="s">
        <v>4462</v>
      </c>
      <c r="E1111" s="3237" t="s">
        <v>4476</v>
      </c>
      <c r="F1111" s="3237" t="s">
        <v>4444</v>
      </c>
      <c r="G1111" s="3237" t="s">
        <v>3221</v>
      </c>
      <c r="H1111" s="3236" t="s">
        <v>4464</v>
      </c>
      <c r="I1111" s="3236">
        <v>29.09</v>
      </c>
    </row>
    <row r="1112" spans="1:9" ht="11.25" hidden="1" customHeight="1" x14ac:dyDescent="0.2">
      <c r="A1112" s="3237" t="s">
        <v>4475</v>
      </c>
      <c r="B1112" s="3237" t="s">
        <v>4336</v>
      </c>
      <c r="C1112" s="3237" t="s">
        <v>4461</v>
      </c>
      <c r="D1112" s="3237" t="s">
        <v>4462</v>
      </c>
      <c r="E1112" s="3237" t="s">
        <v>4476</v>
      </c>
      <c r="F1112" s="3237" t="s">
        <v>4444</v>
      </c>
      <c r="G1112" s="3237" t="s">
        <v>3221</v>
      </c>
      <c r="H1112" s="3236" t="s">
        <v>4464</v>
      </c>
      <c r="I1112" s="3236">
        <v>29.09</v>
      </c>
    </row>
    <row r="1113" spans="1:9" ht="11.25" hidden="1" customHeight="1" x14ac:dyDescent="0.2">
      <c r="A1113" s="3237" t="s">
        <v>4475</v>
      </c>
      <c r="B1113" s="3237" t="s">
        <v>4337</v>
      </c>
      <c r="C1113" s="3237" t="s">
        <v>4461</v>
      </c>
      <c r="D1113" s="3237" t="s">
        <v>4462</v>
      </c>
      <c r="E1113" s="3237" t="s">
        <v>4476</v>
      </c>
      <c r="F1113" s="3237" t="s">
        <v>4444</v>
      </c>
      <c r="G1113" s="3237" t="s">
        <v>3221</v>
      </c>
      <c r="H1113" s="3236" t="s">
        <v>4464</v>
      </c>
      <c r="I1113" s="3236">
        <v>29.09</v>
      </c>
    </row>
    <row r="1114" spans="1:9" ht="11.25" hidden="1" customHeight="1" x14ac:dyDescent="0.2">
      <c r="A1114" s="3237" t="s">
        <v>4475</v>
      </c>
      <c r="B1114" s="3237" t="s">
        <v>4338</v>
      </c>
      <c r="C1114" s="3237" t="s">
        <v>4461</v>
      </c>
      <c r="D1114" s="3237" t="s">
        <v>4462</v>
      </c>
      <c r="E1114" s="3237" t="s">
        <v>4476</v>
      </c>
      <c r="F1114" s="3237" t="s">
        <v>4444</v>
      </c>
      <c r="G1114" s="3237" t="s">
        <v>3221</v>
      </c>
      <c r="H1114" s="3236" t="s">
        <v>4464</v>
      </c>
      <c r="I1114" s="3236">
        <v>29.09</v>
      </c>
    </row>
    <row r="1115" spans="1:9" ht="11.25" hidden="1" customHeight="1" x14ac:dyDescent="0.2">
      <c r="A1115" s="3237" t="s">
        <v>4475</v>
      </c>
      <c r="B1115" s="3237" t="s">
        <v>4339</v>
      </c>
      <c r="C1115" s="3237" t="s">
        <v>4461</v>
      </c>
      <c r="D1115" s="3237" t="s">
        <v>4462</v>
      </c>
      <c r="E1115" s="3237" t="s">
        <v>4476</v>
      </c>
      <c r="F1115" s="3237" t="s">
        <v>4444</v>
      </c>
      <c r="G1115" s="3237" t="s">
        <v>3221</v>
      </c>
      <c r="H1115" s="3236" t="s">
        <v>4464</v>
      </c>
      <c r="I1115" s="3236">
        <v>29.09</v>
      </c>
    </row>
    <row r="1116" spans="1:9" ht="11.25" hidden="1" customHeight="1" x14ac:dyDescent="0.2">
      <c r="A1116" s="3237" t="s">
        <v>4475</v>
      </c>
      <c r="B1116" s="3237" t="s">
        <v>4340</v>
      </c>
      <c r="C1116" s="3237" t="s">
        <v>4461</v>
      </c>
      <c r="D1116" s="3237" t="s">
        <v>4462</v>
      </c>
      <c r="E1116" s="3237" t="s">
        <v>4476</v>
      </c>
      <c r="F1116" s="3237" t="s">
        <v>4444</v>
      </c>
      <c r="G1116" s="3237" t="s">
        <v>3221</v>
      </c>
      <c r="H1116" s="3236" t="s">
        <v>4464</v>
      </c>
      <c r="I1116" s="3236">
        <v>29.09</v>
      </c>
    </row>
    <row r="1117" spans="1:9" ht="11.25" hidden="1" customHeight="1" x14ac:dyDescent="0.2">
      <c r="A1117" s="3237" t="s">
        <v>4475</v>
      </c>
      <c r="B1117" s="3237" t="s">
        <v>4341</v>
      </c>
      <c r="C1117" s="3237" t="s">
        <v>4461</v>
      </c>
      <c r="D1117" s="3237" t="s">
        <v>4462</v>
      </c>
      <c r="E1117" s="3237" t="s">
        <v>4476</v>
      </c>
      <c r="F1117" s="3237" t="s">
        <v>4444</v>
      </c>
      <c r="G1117" s="3237" t="s">
        <v>3221</v>
      </c>
      <c r="H1117" s="3236" t="s">
        <v>4464</v>
      </c>
      <c r="I1117" s="3236">
        <v>29.09</v>
      </c>
    </row>
    <row r="1118" spans="1:9" ht="11.25" hidden="1" customHeight="1" x14ac:dyDescent="0.2">
      <c r="A1118" s="3237" t="s">
        <v>4475</v>
      </c>
      <c r="B1118" s="3237" t="s">
        <v>4342</v>
      </c>
      <c r="C1118" s="3237" t="s">
        <v>4461</v>
      </c>
      <c r="D1118" s="3237" t="s">
        <v>4462</v>
      </c>
      <c r="E1118" s="3237" t="s">
        <v>4476</v>
      </c>
      <c r="F1118" s="3237" t="s">
        <v>4444</v>
      </c>
      <c r="G1118" s="3237" t="s">
        <v>3221</v>
      </c>
      <c r="H1118" s="3236" t="s">
        <v>4464</v>
      </c>
      <c r="I1118" s="3236">
        <v>29.09</v>
      </c>
    </row>
    <row r="1119" spans="1:9" ht="11.25" hidden="1" customHeight="1" x14ac:dyDescent="0.2">
      <c r="A1119" s="3237" t="s">
        <v>4475</v>
      </c>
      <c r="B1119" s="3237" t="s">
        <v>4343</v>
      </c>
      <c r="C1119" s="3237" t="s">
        <v>4461</v>
      </c>
      <c r="D1119" s="3237" t="s">
        <v>4462</v>
      </c>
      <c r="E1119" s="3237" t="s">
        <v>4476</v>
      </c>
      <c r="F1119" s="3237" t="s">
        <v>4444</v>
      </c>
      <c r="G1119" s="3237" t="s">
        <v>3221</v>
      </c>
      <c r="H1119" s="3236" t="s">
        <v>4464</v>
      </c>
      <c r="I1119" s="3236">
        <v>29.09</v>
      </c>
    </row>
    <row r="1120" spans="1:9" ht="11.25" hidden="1" customHeight="1" x14ac:dyDescent="0.2">
      <c r="A1120" s="3237" t="s">
        <v>4475</v>
      </c>
      <c r="B1120" s="3237" t="s">
        <v>4344</v>
      </c>
      <c r="C1120" s="3237" t="s">
        <v>4461</v>
      </c>
      <c r="D1120" s="3237" t="s">
        <v>4462</v>
      </c>
      <c r="E1120" s="3237" t="s">
        <v>4476</v>
      </c>
      <c r="F1120" s="3237" t="s">
        <v>4444</v>
      </c>
      <c r="G1120" s="3237" t="s">
        <v>3221</v>
      </c>
      <c r="H1120" s="3236" t="s">
        <v>4464</v>
      </c>
      <c r="I1120" s="3236">
        <v>29.09</v>
      </c>
    </row>
    <row r="1121" spans="1:9" ht="11.25" hidden="1" customHeight="1" x14ac:dyDescent="0.2">
      <c r="A1121" s="3237" t="s">
        <v>4475</v>
      </c>
      <c r="B1121" s="3237" t="s">
        <v>4345</v>
      </c>
      <c r="C1121" s="3237" t="s">
        <v>4461</v>
      </c>
      <c r="D1121" s="3237" t="s">
        <v>4462</v>
      </c>
      <c r="E1121" s="3237" t="s">
        <v>4476</v>
      </c>
      <c r="F1121" s="3237" t="s">
        <v>4444</v>
      </c>
      <c r="G1121" s="3237" t="s">
        <v>3221</v>
      </c>
      <c r="H1121" s="3236" t="s">
        <v>4464</v>
      </c>
      <c r="I1121" s="3236">
        <v>29.09</v>
      </c>
    </row>
    <row r="1122" spans="1:9" ht="11.25" hidden="1" customHeight="1" x14ac:dyDescent="0.2">
      <c r="A1122" s="3237" t="s">
        <v>4475</v>
      </c>
      <c r="B1122" s="3237" t="s">
        <v>4346</v>
      </c>
      <c r="C1122" s="3237" t="s">
        <v>4461</v>
      </c>
      <c r="D1122" s="3237" t="s">
        <v>4462</v>
      </c>
      <c r="E1122" s="3237" t="s">
        <v>4476</v>
      </c>
      <c r="F1122" s="3237" t="s">
        <v>4444</v>
      </c>
      <c r="G1122" s="3237" t="s">
        <v>3221</v>
      </c>
      <c r="H1122" s="3236" t="s">
        <v>4464</v>
      </c>
      <c r="I1122" s="3236">
        <v>29.09</v>
      </c>
    </row>
    <row r="1123" spans="1:9" ht="11.25" hidden="1" customHeight="1" x14ac:dyDescent="0.2">
      <c r="A1123" s="3237" t="s">
        <v>4475</v>
      </c>
      <c r="B1123" s="3237" t="s">
        <v>4347</v>
      </c>
      <c r="C1123" s="3237" t="s">
        <v>4461</v>
      </c>
      <c r="D1123" s="3237" t="s">
        <v>4462</v>
      </c>
      <c r="E1123" s="3237" t="s">
        <v>4476</v>
      </c>
      <c r="F1123" s="3237" t="s">
        <v>4444</v>
      </c>
      <c r="G1123" s="3237" t="s">
        <v>3221</v>
      </c>
      <c r="H1123" s="3236" t="s">
        <v>4464</v>
      </c>
      <c r="I1123" s="3236">
        <v>29.09</v>
      </c>
    </row>
    <row r="1124" spans="1:9" ht="11.25" hidden="1" customHeight="1" x14ac:dyDescent="0.2">
      <c r="A1124" s="3237" t="s">
        <v>4475</v>
      </c>
      <c r="B1124" s="3237" t="s">
        <v>4348</v>
      </c>
      <c r="C1124" s="3237" t="s">
        <v>4461</v>
      </c>
      <c r="D1124" s="3237" t="s">
        <v>4462</v>
      </c>
      <c r="E1124" s="3237" t="s">
        <v>4476</v>
      </c>
      <c r="F1124" s="3237" t="s">
        <v>4444</v>
      </c>
      <c r="G1124" s="3237" t="s">
        <v>3221</v>
      </c>
      <c r="H1124" s="3236" t="s">
        <v>4464</v>
      </c>
      <c r="I1124" s="3236">
        <v>29.09</v>
      </c>
    </row>
    <row r="1125" spans="1:9" ht="11.25" hidden="1" customHeight="1" x14ac:dyDescent="0.2">
      <c r="A1125" s="3237" t="s">
        <v>4475</v>
      </c>
      <c r="B1125" s="3237" t="s">
        <v>4349</v>
      </c>
      <c r="C1125" s="3237" t="s">
        <v>4461</v>
      </c>
      <c r="D1125" s="3237" t="s">
        <v>4462</v>
      </c>
      <c r="E1125" s="3237" t="s">
        <v>4476</v>
      </c>
      <c r="F1125" s="3237" t="s">
        <v>4444</v>
      </c>
      <c r="G1125" s="3237" t="s">
        <v>3221</v>
      </c>
      <c r="H1125" s="3236" t="s">
        <v>4464</v>
      </c>
      <c r="I1125" s="3236">
        <v>29.09</v>
      </c>
    </row>
    <row r="1126" spans="1:9" ht="11.25" hidden="1" customHeight="1" x14ac:dyDescent="0.2">
      <c r="A1126" s="3237" t="s">
        <v>4475</v>
      </c>
      <c r="B1126" s="3237" t="s">
        <v>4350</v>
      </c>
      <c r="C1126" s="3237" t="s">
        <v>4461</v>
      </c>
      <c r="D1126" s="3237" t="s">
        <v>4462</v>
      </c>
      <c r="E1126" s="3237" t="s">
        <v>4476</v>
      </c>
      <c r="F1126" s="3237" t="s">
        <v>4444</v>
      </c>
      <c r="G1126" s="3237" t="s">
        <v>3221</v>
      </c>
      <c r="H1126" s="3236" t="s">
        <v>4464</v>
      </c>
      <c r="I1126" s="3236">
        <v>29.09</v>
      </c>
    </row>
    <row r="1127" spans="1:9" ht="11.25" hidden="1" customHeight="1" x14ac:dyDescent="0.2">
      <c r="A1127" s="3237" t="s">
        <v>4475</v>
      </c>
      <c r="B1127" s="3237" t="s">
        <v>4351</v>
      </c>
      <c r="C1127" s="3237" t="s">
        <v>4461</v>
      </c>
      <c r="D1127" s="3237" t="s">
        <v>4462</v>
      </c>
      <c r="E1127" s="3237" t="s">
        <v>4476</v>
      </c>
      <c r="F1127" s="3237" t="s">
        <v>4444</v>
      </c>
      <c r="G1127" s="3237" t="s">
        <v>3221</v>
      </c>
      <c r="H1127" s="3236" t="s">
        <v>4464</v>
      </c>
      <c r="I1127" s="3236">
        <v>29.09</v>
      </c>
    </row>
    <row r="1128" spans="1:9" ht="11.25" hidden="1" customHeight="1" x14ac:dyDescent="0.2">
      <c r="A1128" s="3237" t="s">
        <v>4475</v>
      </c>
      <c r="B1128" s="3237" t="s">
        <v>4352</v>
      </c>
      <c r="C1128" s="3237" t="s">
        <v>4461</v>
      </c>
      <c r="D1128" s="3237" t="s">
        <v>4462</v>
      </c>
      <c r="E1128" s="3237" t="s">
        <v>4476</v>
      </c>
      <c r="F1128" s="3237" t="s">
        <v>4444</v>
      </c>
      <c r="G1128" s="3237" t="s">
        <v>3221</v>
      </c>
      <c r="H1128" s="3236" t="s">
        <v>4464</v>
      </c>
      <c r="I1128" s="3236">
        <v>29.09</v>
      </c>
    </row>
    <row r="1129" spans="1:9" ht="11.25" hidden="1" customHeight="1" x14ac:dyDescent="0.2">
      <c r="A1129" s="3237" t="s">
        <v>4475</v>
      </c>
      <c r="B1129" s="3237" t="s">
        <v>4353</v>
      </c>
      <c r="C1129" s="3237" t="s">
        <v>4461</v>
      </c>
      <c r="D1129" s="3237" t="s">
        <v>4462</v>
      </c>
      <c r="E1129" s="3237" t="s">
        <v>4476</v>
      </c>
      <c r="F1129" s="3237" t="s">
        <v>4444</v>
      </c>
      <c r="G1129" s="3237" t="s">
        <v>3221</v>
      </c>
      <c r="H1129" s="3236" t="s">
        <v>4464</v>
      </c>
      <c r="I1129" s="3236">
        <v>29.09</v>
      </c>
    </row>
    <row r="1130" spans="1:9" ht="11.25" hidden="1" customHeight="1" x14ac:dyDescent="0.2">
      <c r="A1130" s="3237" t="s">
        <v>4475</v>
      </c>
      <c r="B1130" s="3237" t="s">
        <v>4354</v>
      </c>
      <c r="C1130" s="3237" t="s">
        <v>4461</v>
      </c>
      <c r="D1130" s="3237" t="s">
        <v>4462</v>
      </c>
      <c r="E1130" s="3237" t="s">
        <v>4476</v>
      </c>
      <c r="F1130" s="3237" t="s">
        <v>4444</v>
      </c>
      <c r="G1130" s="3237" t="s">
        <v>3221</v>
      </c>
      <c r="H1130" s="3236" t="s">
        <v>4464</v>
      </c>
      <c r="I1130" s="3236">
        <v>29.09</v>
      </c>
    </row>
    <row r="1131" spans="1:9" ht="11.25" hidden="1" customHeight="1" x14ac:dyDescent="0.2">
      <c r="A1131" s="3237" t="s">
        <v>4475</v>
      </c>
      <c r="B1131" s="3237" t="s">
        <v>4355</v>
      </c>
      <c r="C1131" s="3237" t="s">
        <v>4461</v>
      </c>
      <c r="D1131" s="3237" t="s">
        <v>4462</v>
      </c>
      <c r="E1131" s="3237" t="s">
        <v>4476</v>
      </c>
      <c r="F1131" s="3237" t="s">
        <v>4444</v>
      </c>
      <c r="G1131" s="3237" t="s">
        <v>3221</v>
      </c>
      <c r="H1131" s="3236" t="s">
        <v>4464</v>
      </c>
      <c r="I1131" s="3236">
        <v>29.09</v>
      </c>
    </row>
    <row r="1132" spans="1:9" ht="11.25" hidden="1" customHeight="1" x14ac:dyDescent="0.2">
      <c r="A1132" s="3237" t="s">
        <v>4475</v>
      </c>
      <c r="B1132" s="3237" t="s">
        <v>4356</v>
      </c>
      <c r="C1132" s="3237" t="s">
        <v>4461</v>
      </c>
      <c r="D1132" s="3237" t="s">
        <v>4462</v>
      </c>
      <c r="E1132" s="3237" t="s">
        <v>4476</v>
      </c>
      <c r="F1132" s="3237" t="s">
        <v>4444</v>
      </c>
      <c r="G1132" s="3237" t="s">
        <v>3221</v>
      </c>
      <c r="H1132" s="3236" t="s">
        <v>4464</v>
      </c>
      <c r="I1132" s="3236">
        <v>29.09</v>
      </c>
    </row>
    <row r="1133" spans="1:9" ht="11.25" hidden="1" customHeight="1" x14ac:dyDescent="0.2">
      <c r="A1133" s="3237" t="s">
        <v>4475</v>
      </c>
      <c r="B1133" s="3237" t="s">
        <v>4357</v>
      </c>
      <c r="C1133" s="3237" t="s">
        <v>4461</v>
      </c>
      <c r="D1133" s="3237" t="s">
        <v>4462</v>
      </c>
      <c r="E1133" s="3237" t="s">
        <v>4476</v>
      </c>
      <c r="F1133" s="3237" t="s">
        <v>4444</v>
      </c>
      <c r="G1133" s="3237" t="s">
        <v>3221</v>
      </c>
      <c r="H1133" s="3236" t="s">
        <v>4464</v>
      </c>
      <c r="I1133" s="3236">
        <v>29.09</v>
      </c>
    </row>
    <row r="1134" spans="1:9" ht="11.25" hidden="1" customHeight="1" x14ac:dyDescent="0.2">
      <c r="A1134" s="3237" t="s">
        <v>4475</v>
      </c>
      <c r="B1134" s="3237" t="s">
        <v>4358</v>
      </c>
      <c r="C1134" s="3237" t="s">
        <v>4461</v>
      </c>
      <c r="D1134" s="3237" t="s">
        <v>4462</v>
      </c>
      <c r="E1134" s="3237" t="s">
        <v>4476</v>
      </c>
      <c r="F1134" s="3237" t="s">
        <v>4444</v>
      </c>
      <c r="G1134" s="3237" t="s">
        <v>3221</v>
      </c>
      <c r="H1134" s="3236" t="s">
        <v>4464</v>
      </c>
      <c r="I1134" s="3236">
        <v>29.09</v>
      </c>
    </row>
    <row r="1135" spans="1:9" ht="11.25" hidden="1" customHeight="1" x14ac:dyDescent="0.2">
      <c r="A1135" s="3237" t="s">
        <v>4475</v>
      </c>
      <c r="B1135" s="3237" t="s">
        <v>4359</v>
      </c>
      <c r="C1135" s="3237" t="s">
        <v>4461</v>
      </c>
      <c r="D1135" s="3237" t="s">
        <v>4462</v>
      </c>
      <c r="E1135" s="3237" t="s">
        <v>4476</v>
      </c>
      <c r="F1135" s="3237" t="s">
        <v>4444</v>
      </c>
      <c r="G1135" s="3237" t="s">
        <v>3221</v>
      </c>
      <c r="H1135" s="3236" t="s">
        <v>4464</v>
      </c>
      <c r="I1135" s="3236">
        <v>29.09</v>
      </c>
    </row>
    <row r="1136" spans="1:9" ht="11.25" hidden="1" customHeight="1" x14ac:dyDescent="0.2">
      <c r="A1136" s="3237" t="s">
        <v>4475</v>
      </c>
      <c r="B1136" s="3237" t="s">
        <v>4360</v>
      </c>
      <c r="C1136" s="3237" t="s">
        <v>4461</v>
      </c>
      <c r="D1136" s="3237" t="s">
        <v>4462</v>
      </c>
      <c r="E1136" s="3237" t="s">
        <v>4476</v>
      </c>
      <c r="F1136" s="3237" t="s">
        <v>4444</v>
      </c>
      <c r="G1136" s="3237" t="s">
        <v>3221</v>
      </c>
      <c r="H1136" s="3236" t="s">
        <v>4464</v>
      </c>
      <c r="I1136" s="3236">
        <v>29.09</v>
      </c>
    </row>
    <row r="1137" spans="1:9" ht="11.25" hidden="1" customHeight="1" x14ac:dyDescent="0.2">
      <c r="A1137" s="3237" t="s">
        <v>4475</v>
      </c>
      <c r="B1137" s="3237" t="s">
        <v>4361</v>
      </c>
      <c r="C1137" s="3237" t="s">
        <v>4461</v>
      </c>
      <c r="D1137" s="3237" t="s">
        <v>4462</v>
      </c>
      <c r="E1137" s="3237" t="s">
        <v>4476</v>
      </c>
      <c r="F1137" s="3237" t="s">
        <v>4444</v>
      </c>
      <c r="G1137" s="3237" t="s">
        <v>3221</v>
      </c>
      <c r="H1137" s="3236" t="s">
        <v>4464</v>
      </c>
      <c r="I1137" s="3236">
        <v>29.09</v>
      </c>
    </row>
    <row r="1138" spans="1:9" ht="11.25" hidden="1" customHeight="1" x14ac:dyDescent="0.2">
      <c r="A1138" s="3237" t="s">
        <v>4475</v>
      </c>
      <c r="B1138" s="3237" t="s">
        <v>4362</v>
      </c>
      <c r="C1138" s="3237" t="s">
        <v>4461</v>
      </c>
      <c r="D1138" s="3237" t="s">
        <v>4462</v>
      </c>
      <c r="E1138" s="3237" t="s">
        <v>4476</v>
      </c>
      <c r="F1138" s="3237" t="s">
        <v>4444</v>
      </c>
      <c r="G1138" s="3237" t="s">
        <v>3221</v>
      </c>
      <c r="H1138" s="3236" t="s">
        <v>4464</v>
      </c>
      <c r="I1138" s="3236">
        <v>29.09</v>
      </c>
    </row>
    <row r="1139" spans="1:9" ht="11.25" hidden="1" customHeight="1" x14ac:dyDescent="0.2">
      <c r="A1139" s="3237" t="s">
        <v>4475</v>
      </c>
      <c r="B1139" s="3237" t="s">
        <v>4363</v>
      </c>
      <c r="C1139" s="3237" t="s">
        <v>4461</v>
      </c>
      <c r="D1139" s="3237" t="s">
        <v>4462</v>
      </c>
      <c r="E1139" s="3237" t="s">
        <v>4476</v>
      </c>
      <c r="F1139" s="3237" t="s">
        <v>4444</v>
      </c>
      <c r="G1139" s="3237" t="s">
        <v>3221</v>
      </c>
      <c r="H1139" s="3236" t="s">
        <v>4464</v>
      </c>
      <c r="I1139" s="3236">
        <v>29.09</v>
      </c>
    </row>
    <row r="1140" spans="1:9" ht="11.25" hidden="1" customHeight="1" x14ac:dyDescent="0.2">
      <c r="A1140" s="3237" t="s">
        <v>4475</v>
      </c>
      <c r="B1140" s="3237" t="s">
        <v>4364</v>
      </c>
      <c r="C1140" s="3237" t="s">
        <v>4461</v>
      </c>
      <c r="D1140" s="3237" t="s">
        <v>4462</v>
      </c>
      <c r="E1140" s="3237" t="s">
        <v>4476</v>
      </c>
      <c r="F1140" s="3237" t="s">
        <v>4444</v>
      </c>
      <c r="G1140" s="3237" t="s">
        <v>3221</v>
      </c>
      <c r="H1140" s="3236" t="s">
        <v>4464</v>
      </c>
      <c r="I1140" s="3236">
        <v>29.09</v>
      </c>
    </row>
    <row r="1141" spans="1:9" ht="11.25" hidden="1" customHeight="1" x14ac:dyDescent="0.2">
      <c r="A1141" s="3237" t="s">
        <v>4475</v>
      </c>
      <c r="B1141" s="3237" t="s">
        <v>4365</v>
      </c>
      <c r="C1141" s="3237" t="s">
        <v>4461</v>
      </c>
      <c r="D1141" s="3237" t="s">
        <v>4462</v>
      </c>
      <c r="E1141" s="3237" t="s">
        <v>4476</v>
      </c>
      <c r="F1141" s="3237" t="s">
        <v>4444</v>
      </c>
      <c r="G1141" s="3237" t="s">
        <v>3221</v>
      </c>
      <c r="H1141" s="3236" t="s">
        <v>4464</v>
      </c>
      <c r="I1141" s="3236">
        <v>29.09</v>
      </c>
    </row>
    <row r="1142" spans="1:9" ht="11.25" hidden="1" customHeight="1" x14ac:dyDescent="0.2">
      <c r="A1142" s="3237" t="s">
        <v>4475</v>
      </c>
      <c r="B1142" s="3237" t="s">
        <v>4366</v>
      </c>
      <c r="C1142" s="3237" t="s">
        <v>4461</v>
      </c>
      <c r="D1142" s="3237" t="s">
        <v>4462</v>
      </c>
      <c r="E1142" s="3237" t="s">
        <v>4476</v>
      </c>
      <c r="F1142" s="3237" t="s">
        <v>4444</v>
      </c>
      <c r="G1142" s="3237" t="s">
        <v>3221</v>
      </c>
      <c r="H1142" s="3236" t="s">
        <v>4464</v>
      </c>
      <c r="I1142" s="3236">
        <v>29.09</v>
      </c>
    </row>
    <row r="1143" spans="1:9" ht="11.25" hidden="1" customHeight="1" x14ac:dyDescent="0.2">
      <c r="A1143" s="3237" t="s">
        <v>4475</v>
      </c>
      <c r="B1143" s="3237" t="s">
        <v>4367</v>
      </c>
      <c r="C1143" s="3237" t="s">
        <v>4461</v>
      </c>
      <c r="D1143" s="3237" t="s">
        <v>4462</v>
      </c>
      <c r="E1143" s="3237" t="s">
        <v>4476</v>
      </c>
      <c r="F1143" s="3237" t="s">
        <v>4444</v>
      </c>
      <c r="G1143" s="3237" t="s">
        <v>3221</v>
      </c>
      <c r="H1143" s="3236" t="s">
        <v>4464</v>
      </c>
      <c r="I1143" s="3236">
        <v>29.09</v>
      </c>
    </row>
    <row r="1144" spans="1:9" ht="11.25" hidden="1" customHeight="1" x14ac:dyDescent="0.2">
      <c r="A1144" s="3237" t="s">
        <v>4475</v>
      </c>
      <c r="B1144" s="3237" t="s">
        <v>4368</v>
      </c>
      <c r="C1144" s="3237" t="s">
        <v>4461</v>
      </c>
      <c r="D1144" s="3237" t="s">
        <v>4462</v>
      </c>
      <c r="E1144" s="3237" t="s">
        <v>4476</v>
      </c>
      <c r="F1144" s="3237" t="s">
        <v>4444</v>
      </c>
      <c r="G1144" s="3237" t="s">
        <v>3221</v>
      </c>
      <c r="H1144" s="3236" t="s">
        <v>4464</v>
      </c>
      <c r="I1144" s="3236">
        <v>29.09</v>
      </c>
    </row>
    <row r="1145" spans="1:9" ht="11.25" hidden="1" customHeight="1" x14ac:dyDescent="0.2">
      <c r="A1145" s="3237" t="s">
        <v>4475</v>
      </c>
      <c r="B1145" s="3237" t="s">
        <v>4369</v>
      </c>
      <c r="C1145" s="3237" t="s">
        <v>4461</v>
      </c>
      <c r="D1145" s="3237" t="s">
        <v>4462</v>
      </c>
      <c r="E1145" s="3237" t="s">
        <v>4476</v>
      </c>
      <c r="F1145" s="3237" t="s">
        <v>4444</v>
      </c>
      <c r="G1145" s="3237" t="s">
        <v>3221</v>
      </c>
      <c r="H1145" s="3236" t="s">
        <v>4464</v>
      </c>
      <c r="I1145" s="3236">
        <v>29.09</v>
      </c>
    </row>
    <row r="1146" spans="1:9" ht="11.25" hidden="1" customHeight="1" x14ac:dyDescent="0.2">
      <c r="A1146" s="3237" t="s">
        <v>4475</v>
      </c>
      <c r="B1146" s="3237" t="s">
        <v>4370</v>
      </c>
      <c r="C1146" s="3237" t="s">
        <v>4461</v>
      </c>
      <c r="D1146" s="3237" t="s">
        <v>4462</v>
      </c>
      <c r="E1146" s="3237" t="s">
        <v>4476</v>
      </c>
      <c r="F1146" s="3237" t="s">
        <v>4444</v>
      </c>
      <c r="G1146" s="3237" t="s">
        <v>3221</v>
      </c>
      <c r="H1146" s="3236" t="s">
        <v>4464</v>
      </c>
      <c r="I1146" s="3236">
        <v>29.09</v>
      </c>
    </row>
    <row r="1147" spans="1:9" ht="11.25" hidden="1" customHeight="1" x14ac:dyDescent="0.2">
      <c r="A1147" s="3237" t="s">
        <v>4475</v>
      </c>
      <c r="B1147" s="3237" t="s">
        <v>4371</v>
      </c>
      <c r="C1147" s="3237" t="s">
        <v>4461</v>
      </c>
      <c r="D1147" s="3237" t="s">
        <v>4462</v>
      </c>
      <c r="E1147" s="3237" t="s">
        <v>4476</v>
      </c>
      <c r="F1147" s="3237" t="s">
        <v>4444</v>
      </c>
      <c r="G1147" s="3237" t="s">
        <v>3221</v>
      </c>
      <c r="H1147" s="3236" t="s">
        <v>4464</v>
      </c>
      <c r="I1147" s="3236">
        <v>29.09</v>
      </c>
    </row>
    <row r="1148" spans="1:9" ht="11.25" hidden="1" customHeight="1" x14ac:dyDescent="0.2">
      <c r="A1148" s="3237" t="s">
        <v>4475</v>
      </c>
      <c r="B1148" s="3237" t="s">
        <v>4372</v>
      </c>
      <c r="C1148" s="3237" t="s">
        <v>4461</v>
      </c>
      <c r="D1148" s="3237" t="s">
        <v>4462</v>
      </c>
      <c r="E1148" s="3237" t="s">
        <v>4476</v>
      </c>
      <c r="F1148" s="3237" t="s">
        <v>4444</v>
      </c>
      <c r="G1148" s="3237" t="s">
        <v>3221</v>
      </c>
      <c r="H1148" s="3236" t="s">
        <v>4464</v>
      </c>
      <c r="I1148" s="3236">
        <v>29.09</v>
      </c>
    </row>
    <row r="1149" spans="1:9" ht="11.25" hidden="1" customHeight="1" x14ac:dyDescent="0.2">
      <c r="A1149" s="3237" t="s">
        <v>4475</v>
      </c>
      <c r="B1149" s="3237" t="s">
        <v>4373</v>
      </c>
      <c r="C1149" s="3237" t="s">
        <v>4461</v>
      </c>
      <c r="D1149" s="3237" t="s">
        <v>4462</v>
      </c>
      <c r="E1149" s="3237" t="s">
        <v>4476</v>
      </c>
      <c r="F1149" s="3237" t="s">
        <v>4444</v>
      </c>
      <c r="G1149" s="3237" t="s">
        <v>3221</v>
      </c>
      <c r="H1149" s="3236" t="s">
        <v>4464</v>
      </c>
      <c r="I1149" s="3236">
        <v>29.09</v>
      </c>
    </row>
    <row r="1150" spans="1:9" ht="11.25" hidden="1" customHeight="1" x14ac:dyDescent="0.2">
      <c r="A1150" s="3237" t="s">
        <v>4475</v>
      </c>
      <c r="B1150" s="3237" t="s">
        <v>4374</v>
      </c>
      <c r="C1150" s="3237" t="s">
        <v>4461</v>
      </c>
      <c r="D1150" s="3237" t="s">
        <v>4462</v>
      </c>
      <c r="E1150" s="3237" t="s">
        <v>4476</v>
      </c>
      <c r="F1150" s="3237" t="s">
        <v>4444</v>
      </c>
      <c r="G1150" s="3237" t="s">
        <v>3221</v>
      </c>
      <c r="H1150" s="3236" t="s">
        <v>4464</v>
      </c>
      <c r="I1150" s="3236">
        <v>29.09</v>
      </c>
    </row>
    <row r="1151" spans="1:9" ht="11.25" hidden="1" customHeight="1" x14ac:dyDescent="0.2">
      <c r="A1151" s="3237" t="s">
        <v>4475</v>
      </c>
      <c r="B1151" s="3237" t="s">
        <v>4375</v>
      </c>
      <c r="C1151" s="3237" t="s">
        <v>4461</v>
      </c>
      <c r="D1151" s="3237" t="s">
        <v>4462</v>
      </c>
      <c r="E1151" s="3237" t="s">
        <v>4476</v>
      </c>
      <c r="F1151" s="3237" t="s">
        <v>4444</v>
      </c>
      <c r="G1151" s="3237" t="s">
        <v>3221</v>
      </c>
      <c r="H1151" s="3236" t="s">
        <v>4464</v>
      </c>
      <c r="I1151" s="3236">
        <v>29.09</v>
      </c>
    </row>
    <row r="1152" spans="1:9" ht="11.25" hidden="1" customHeight="1" x14ac:dyDescent="0.2">
      <c r="A1152" s="3237" t="s">
        <v>4475</v>
      </c>
      <c r="B1152" s="3237" t="s">
        <v>4376</v>
      </c>
      <c r="C1152" s="3237" t="s">
        <v>4461</v>
      </c>
      <c r="D1152" s="3237" t="s">
        <v>4462</v>
      </c>
      <c r="E1152" s="3237" t="s">
        <v>4476</v>
      </c>
      <c r="F1152" s="3237" t="s">
        <v>4444</v>
      </c>
      <c r="G1152" s="3237" t="s">
        <v>3221</v>
      </c>
      <c r="H1152" s="3236" t="s">
        <v>4464</v>
      </c>
      <c r="I1152" s="3236">
        <v>29.09</v>
      </c>
    </row>
    <row r="1153" spans="1:9" ht="11.25" hidden="1" customHeight="1" x14ac:dyDescent="0.2">
      <c r="A1153" s="3237" t="s">
        <v>4475</v>
      </c>
      <c r="B1153" s="3237" t="s">
        <v>4377</v>
      </c>
      <c r="C1153" s="3237" t="s">
        <v>4461</v>
      </c>
      <c r="D1153" s="3237" t="s">
        <v>4462</v>
      </c>
      <c r="E1153" s="3237" t="s">
        <v>4476</v>
      </c>
      <c r="F1153" s="3237" t="s">
        <v>4444</v>
      </c>
      <c r="G1153" s="3237" t="s">
        <v>3221</v>
      </c>
      <c r="H1153" s="3236" t="s">
        <v>4464</v>
      </c>
      <c r="I1153" s="3236">
        <v>29.09</v>
      </c>
    </row>
    <row r="1154" spans="1:9" ht="11.25" hidden="1" customHeight="1" x14ac:dyDescent="0.2">
      <c r="A1154" s="3237" t="s">
        <v>4475</v>
      </c>
      <c r="B1154" s="3237" t="s">
        <v>4378</v>
      </c>
      <c r="C1154" s="3237" t="s">
        <v>4461</v>
      </c>
      <c r="D1154" s="3237" t="s">
        <v>4462</v>
      </c>
      <c r="E1154" s="3237" t="s">
        <v>4476</v>
      </c>
      <c r="F1154" s="3237" t="s">
        <v>4444</v>
      </c>
      <c r="G1154" s="3237" t="s">
        <v>3221</v>
      </c>
      <c r="H1154" s="3236" t="s">
        <v>4464</v>
      </c>
      <c r="I1154" s="3236">
        <v>29.09</v>
      </c>
    </row>
    <row r="1155" spans="1:9" ht="11.25" hidden="1" customHeight="1" x14ac:dyDescent="0.2">
      <c r="A1155" s="3237" t="s">
        <v>4475</v>
      </c>
      <c r="B1155" s="3237" t="s">
        <v>4379</v>
      </c>
      <c r="C1155" s="3237" t="s">
        <v>4461</v>
      </c>
      <c r="D1155" s="3237" t="s">
        <v>4462</v>
      </c>
      <c r="E1155" s="3237" t="s">
        <v>4476</v>
      </c>
      <c r="F1155" s="3237" t="s">
        <v>4444</v>
      </c>
      <c r="G1155" s="3237" t="s">
        <v>3221</v>
      </c>
      <c r="H1155" s="3236" t="s">
        <v>4464</v>
      </c>
      <c r="I1155" s="3236">
        <v>29.09</v>
      </c>
    </row>
    <row r="1156" spans="1:9" ht="11.25" hidden="1" customHeight="1" x14ac:dyDescent="0.2">
      <c r="A1156" s="3237" t="s">
        <v>4475</v>
      </c>
      <c r="B1156" s="3237" t="s">
        <v>4380</v>
      </c>
      <c r="C1156" s="3237" t="s">
        <v>4461</v>
      </c>
      <c r="D1156" s="3237" t="s">
        <v>4462</v>
      </c>
      <c r="E1156" s="3237" t="s">
        <v>4476</v>
      </c>
      <c r="F1156" s="3237" t="s">
        <v>4444</v>
      </c>
      <c r="G1156" s="3237" t="s">
        <v>3221</v>
      </c>
      <c r="H1156" s="3236" t="s">
        <v>4464</v>
      </c>
      <c r="I1156" s="3236">
        <v>29.09</v>
      </c>
    </row>
    <row r="1157" spans="1:9" ht="11.25" hidden="1" customHeight="1" x14ac:dyDescent="0.2">
      <c r="A1157" s="3237" t="s">
        <v>4475</v>
      </c>
      <c r="B1157" s="3237" t="s">
        <v>4381</v>
      </c>
      <c r="C1157" s="3237" t="s">
        <v>4461</v>
      </c>
      <c r="D1157" s="3237" t="s">
        <v>4462</v>
      </c>
      <c r="E1157" s="3237" t="s">
        <v>4476</v>
      </c>
      <c r="F1157" s="3237" t="s">
        <v>4444</v>
      </c>
      <c r="G1157" s="3237" t="s">
        <v>3221</v>
      </c>
      <c r="H1157" s="3236" t="s">
        <v>4464</v>
      </c>
      <c r="I1157" s="3236">
        <v>29.09</v>
      </c>
    </row>
    <row r="1158" spans="1:9" ht="11.25" hidden="1" customHeight="1" x14ac:dyDescent="0.2">
      <c r="A1158" s="3237" t="s">
        <v>4475</v>
      </c>
      <c r="B1158" s="3237" t="s">
        <v>4382</v>
      </c>
      <c r="C1158" s="3237" t="s">
        <v>4461</v>
      </c>
      <c r="D1158" s="3237" t="s">
        <v>4462</v>
      </c>
      <c r="E1158" s="3237" t="s">
        <v>4476</v>
      </c>
      <c r="F1158" s="3237" t="s">
        <v>4444</v>
      </c>
      <c r="G1158" s="3237" t="s">
        <v>3221</v>
      </c>
      <c r="H1158" s="3236" t="s">
        <v>4464</v>
      </c>
      <c r="I1158" s="3236">
        <v>29.09</v>
      </c>
    </row>
    <row r="1159" spans="1:9" ht="11.25" hidden="1" customHeight="1" x14ac:dyDescent="0.2">
      <c r="A1159" s="3237" t="s">
        <v>4475</v>
      </c>
      <c r="B1159" s="3237" t="s">
        <v>4383</v>
      </c>
      <c r="C1159" s="3237" t="s">
        <v>4461</v>
      </c>
      <c r="D1159" s="3237" t="s">
        <v>4462</v>
      </c>
      <c r="E1159" s="3237" t="s">
        <v>4476</v>
      </c>
      <c r="F1159" s="3237" t="s">
        <v>4444</v>
      </c>
      <c r="G1159" s="3237" t="s">
        <v>3221</v>
      </c>
      <c r="H1159" s="3236" t="s">
        <v>4464</v>
      </c>
      <c r="I1159" s="3236">
        <v>29.09</v>
      </c>
    </row>
    <row r="1160" spans="1:9" ht="11.25" hidden="1" customHeight="1" x14ac:dyDescent="0.2">
      <c r="A1160" s="3237" t="s">
        <v>4475</v>
      </c>
      <c r="B1160" s="3237" t="s">
        <v>4384</v>
      </c>
      <c r="C1160" s="3237" t="s">
        <v>4461</v>
      </c>
      <c r="D1160" s="3237" t="s">
        <v>4462</v>
      </c>
      <c r="E1160" s="3237" t="s">
        <v>4476</v>
      </c>
      <c r="F1160" s="3237" t="s">
        <v>4444</v>
      </c>
      <c r="G1160" s="3237" t="s">
        <v>3221</v>
      </c>
      <c r="H1160" s="3236" t="s">
        <v>4464</v>
      </c>
      <c r="I1160" s="3236">
        <v>29.09</v>
      </c>
    </row>
    <row r="1161" spans="1:9" ht="11.25" hidden="1" customHeight="1" x14ac:dyDescent="0.2">
      <c r="A1161" s="3237" t="s">
        <v>4475</v>
      </c>
      <c r="B1161" s="3237" t="s">
        <v>4385</v>
      </c>
      <c r="C1161" s="3237" t="s">
        <v>4461</v>
      </c>
      <c r="D1161" s="3237" t="s">
        <v>4462</v>
      </c>
      <c r="E1161" s="3237" t="s">
        <v>4476</v>
      </c>
      <c r="F1161" s="3237" t="s">
        <v>4444</v>
      </c>
      <c r="G1161" s="3237" t="s">
        <v>3221</v>
      </c>
      <c r="H1161" s="3236" t="s">
        <v>4464</v>
      </c>
      <c r="I1161" s="3236">
        <v>29.09</v>
      </c>
    </row>
    <row r="1162" spans="1:9" ht="11.25" hidden="1" customHeight="1" x14ac:dyDescent="0.2">
      <c r="A1162" s="3237" t="s">
        <v>4475</v>
      </c>
      <c r="B1162" s="3237" t="s">
        <v>4386</v>
      </c>
      <c r="C1162" s="3237" t="s">
        <v>4461</v>
      </c>
      <c r="D1162" s="3237" t="s">
        <v>4462</v>
      </c>
      <c r="E1162" s="3237" t="s">
        <v>4476</v>
      </c>
      <c r="F1162" s="3237" t="s">
        <v>4444</v>
      </c>
      <c r="G1162" s="3237" t="s">
        <v>3221</v>
      </c>
      <c r="H1162" s="3236" t="s">
        <v>4464</v>
      </c>
      <c r="I1162" s="3236">
        <v>29.09</v>
      </c>
    </row>
    <row r="1163" spans="1:9" ht="11.25" hidden="1" customHeight="1" x14ac:dyDescent="0.2">
      <c r="A1163" s="3237" t="s">
        <v>4475</v>
      </c>
      <c r="B1163" s="3237" t="s">
        <v>4387</v>
      </c>
      <c r="C1163" s="3237" t="s">
        <v>4461</v>
      </c>
      <c r="D1163" s="3237" t="s">
        <v>4462</v>
      </c>
      <c r="E1163" s="3237" t="s">
        <v>4476</v>
      </c>
      <c r="F1163" s="3237" t="s">
        <v>4444</v>
      </c>
      <c r="G1163" s="3237" t="s">
        <v>3221</v>
      </c>
      <c r="H1163" s="3236" t="s">
        <v>4464</v>
      </c>
      <c r="I1163" s="3236">
        <v>29.09</v>
      </c>
    </row>
    <row r="1164" spans="1:9" ht="11.25" hidden="1" customHeight="1" x14ac:dyDescent="0.2">
      <c r="A1164" s="3237" t="s">
        <v>4475</v>
      </c>
      <c r="B1164" s="3237" t="s">
        <v>4388</v>
      </c>
      <c r="C1164" s="3237" t="s">
        <v>4461</v>
      </c>
      <c r="D1164" s="3237" t="s">
        <v>4462</v>
      </c>
      <c r="E1164" s="3237" t="s">
        <v>4476</v>
      </c>
      <c r="F1164" s="3237" t="s">
        <v>4444</v>
      </c>
      <c r="G1164" s="3237" t="s">
        <v>3221</v>
      </c>
      <c r="H1164" s="3236" t="s">
        <v>4464</v>
      </c>
      <c r="I1164" s="3236">
        <v>29.09</v>
      </c>
    </row>
    <row r="1165" spans="1:9" ht="11.25" hidden="1" customHeight="1" x14ac:dyDescent="0.2">
      <c r="A1165" s="3237" t="s">
        <v>4475</v>
      </c>
      <c r="B1165" s="3237" t="s">
        <v>4389</v>
      </c>
      <c r="C1165" s="3237" t="s">
        <v>4461</v>
      </c>
      <c r="D1165" s="3237" t="s">
        <v>4462</v>
      </c>
      <c r="E1165" s="3237" t="s">
        <v>4476</v>
      </c>
      <c r="F1165" s="3237" t="s">
        <v>4444</v>
      </c>
      <c r="G1165" s="3237" t="s">
        <v>3221</v>
      </c>
      <c r="H1165" s="3236" t="s">
        <v>4464</v>
      </c>
      <c r="I1165" s="3236">
        <v>29.09</v>
      </c>
    </row>
    <row r="1166" spans="1:9" ht="11.25" hidden="1" customHeight="1" x14ac:dyDescent="0.2">
      <c r="A1166" s="3237" t="s">
        <v>4475</v>
      </c>
      <c r="B1166" s="3237" t="s">
        <v>4390</v>
      </c>
      <c r="C1166" s="3237" t="s">
        <v>4461</v>
      </c>
      <c r="D1166" s="3237" t="s">
        <v>4462</v>
      </c>
      <c r="E1166" s="3237" t="s">
        <v>4476</v>
      </c>
      <c r="F1166" s="3237" t="s">
        <v>4444</v>
      </c>
      <c r="G1166" s="3237" t="s">
        <v>3221</v>
      </c>
      <c r="H1166" s="3236" t="s">
        <v>4464</v>
      </c>
      <c r="I1166" s="3236">
        <v>29.09</v>
      </c>
    </row>
    <row r="1167" spans="1:9" ht="11.25" hidden="1" customHeight="1" x14ac:dyDescent="0.2">
      <c r="A1167" s="3237" t="s">
        <v>4475</v>
      </c>
      <c r="B1167" s="3237" t="s">
        <v>4391</v>
      </c>
      <c r="C1167" s="3237" t="s">
        <v>4461</v>
      </c>
      <c r="D1167" s="3237" t="s">
        <v>4462</v>
      </c>
      <c r="E1167" s="3237" t="s">
        <v>4476</v>
      </c>
      <c r="F1167" s="3237" t="s">
        <v>4444</v>
      </c>
      <c r="G1167" s="3237" t="s">
        <v>3221</v>
      </c>
      <c r="H1167" s="3236" t="s">
        <v>4464</v>
      </c>
      <c r="I1167" s="3236">
        <v>29.09</v>
      </c>
    </row>
    <row r="1168" spans="1:9" ht="11.25" hidden="1" customHeight="1" x14ac:dyDescent="0.2">
      <c r="A1168" s="3237" t="s">
        <v>4475</v>
      </c>
      <c r="B1168" s="3237" t="s">
        <v>4392</v>
      </c>
      <c r="C1168" s="3237" t="s">
        <v>4461</v>
      </c>
      <c r="D1168" s="3237" t="s">
        <v>4462</v>
      </c>
      <c r="E1168" s="3237" t="s">
        <v>4476</v>
      </c>
      <c r="F1168" s="3237" t="s">
        <v>4444</v>
      </c>
      <c r="G1168" s="3237" t="s">
        <v>3221</v>
      </c>
      <c r="H1168" s="3236" t="s">
        <v>4464</v>
      </c>
      <c r="I1168" s="3236">
        <v>29.09</v>
      </c>
    </row>
    <row r="1169" spans="1:9" ht="11.25" hidden="1" customHeight="1" x14ac:dyDescent="0.2">
      <c r="A1169" s="3237" t="s">
        <v>4475</v>
      </c>
      <c r="B1169" s="3237" t="s">
        <v>4393</v>
      </c>
      <c r="C1169" s="3237" t="s">
        <v>4461</v>
      </c>
      <c r="D1169" s="3237" t="s">
        <v>4462</v>
      </c>
      <c r="E1169" s="3237" t="s">
        <v>4476</v>
      </c>
      <c r="F1169" s="3237" t="s">
        <v>4444</v>
      </c>
      <c r="G1169" s="3237" t="s">
        <v>3221</v>
      </c>
      <c r="H1169" s="3236" t="s">
        <v>4464</v>
      </c>
      <c r="I1169" s="3236">
        <v>29.09</v>
      </c>
    </row>
    <row r="1170" spans="1:9" ht="11.25" hidden="1" customHeight="1" x14ac:dyDescent="0.2">
      <c r="A1170" s="3237" t="s">
        <v>4475</v>
      </c>
      <c r="B1170" s="3237" t="s">
        <v>4394</v>
      </c>
      <c r="C1170" s="3237" t="s">
        <v>4461</v>
      </c>
      <c r="D1170" s="3237" t="s">
        <v>4462</v>
      </c>
      <c r="E1170" s="3237" t="s">
        <v>4476</v>
      </c>
      <c r="F1170" s="3237" t="s">
        <v>4444</v>
      </c>
      <c r="G1170" s="3237" t="s">
        <v>3221</v>
      </c>
      <c r="H1170" s="3236" t="s">
        <v>4464</v>
      </c>
      <c r="I1170" s="3236">
        <v>29.09</v>
      </c>
    </row>
    <row r="1171" spans="1:9" ht="11.25" hidden="1" customHeight="1" x14ac:dyDescent="0.2">
      <c r="A1171" s="3237" t="s">
        <v>4475</v>
      </c>
      <c r="B1171" s="3237" t="s">
        <v>4395</v>
      </c>
      <c r="C1171" s="3237" t="s">
        <v>4461</v>
      </c>
      <c r="D1171" s="3237" t="s">
        <v>4462</v>
      </c>
      <c r="E1171" s="3237" t="s">
        <v>4476</v>
      </c>
      <c r="F1171" s="3237" t="s">
        <v>4444</v>
      </c>
      <c r="G1171" s="3237" t="s">
        <v>3221</v>
      </c>
      <c r="H1171" s="3236" t="s">
        <v>4464</v>
      </c>
      <c r="I1171" s="3236">
        <v>29.09</v>
      </c>
    </row>
    <row r="1172" spans="1:9" ht="11.25" hidden="1" customHeight="1" x14ac:dyDescent="0.2">
      <c r="A1172" s="3237" t="s">
        <v>4475</v>
      </c>
      <c r="B1172" s="3237" t="s">
        <v>4396</v>
      </c>
      <c r="C1172" s="3237" t="s">
        <v>4461</v>
      </c>
      <c r="D1172" s="3237" t="s">
        <v>4462</v>
      </c>
      <c r="E1172" s="3237" t="s">
        <v>4476</v>
      </c>
      <c r="F1172" s="3237" t="s">
        <v>4444</v>
      </c>
      <c r="G1172" s="3237" t="s">
        <v>3221</v>
      </c>
      <c r="H1172" s="3236" t="s">
        <v>4464</v>
      </c>
      <c r="I1172" s="3236">
        <v>29.09</v>
      </c>
    </row>
    <row r="1173" spans="1:9" ht="11.25" hidden="1" customHeight="1" x14ac:dyDescent="0.2">
      <c r="A1173" s="3237" t="s">
        <v>4475</v>
      </c>
      <c r="B1173" s="3237" t="s">
        <v>4397</v>
      </c>
      <c r="C1173" s="3237" t="s">
        <v>4461</v>
      </c>
      <c r="D1173" s="3237" t="s">
        <v>4462</v>
      </c>
      <c r="E1173" s="3237" t="s">
        <v>4476</v>
      </c>
      <c r="F1173" s="3237" t="s">
        <v>4444</v>
      </c>
      <c r="G1173" s="3237" t="s">
        <v>3221</v>
      </c>
      <c r="H1173" s="3236" t="s">
        <v>4464</v>
      </c>
      <c r="I1173" s="3236">
        <v>29.09</v>
      </c>
    </row>
    <row r="1174" spans="1:9" ht="11.25" hidden="1" customHeight="1" x14ac:dyDescent="0.2">
      <c r="A1174" s="3237" t="s">
        <v>4475</v>
      </c>
      <c r="B1174" s="3237" t="s">
        <v>4398</v>
      </c>
      <c r="C1174" s="3237" t="s">
        <v>4461</v>
      </c>
      <c r="D1174" s="3237" t="s">
        <v>4462</v>
      </c>
      <c r="E1174" s="3237" t="s">
        <v>4476</v>
      </c>
      <c r="F1174" s="3237" t="s">
        <v>4444</v>
      </c>
      <c r="G1174" s="3237" t="s">
        <v>3221</v>
      </c>
      <c r="H1174" s="3236" t="s">
        <v>4464</v>
      </c>
      <c r="I1174" s="3236">
        <v>29.09</v>
      </c>
    </row>
    <row r="1175" spans="1:9" ht="11.25" hidden="1" customHeight="1" x14ac:dyDescent="0.2">
      <c r="A1175" s="3237" t="s">
        <v>4475</v>
      </c>
      <c r="B1175" s="3237" t="s">
        <v>4399</v>
      </c>
      <c r="C1175" s="3237" t="s">
        <v>4461</v>
      </c>
      <c r="D1175" s="3237" t="s">
        <v>4462</v>
      </c>
      <c r="E1175" s="3237" t="s">
        <v>4476</v>
      </c>
      <c r="F1175" s="3237" t="s">
        <v>4444</v>
      </c>
      <c r="G1175" s="3237" t="s">
        <v>3221</v>
      </c>
      <c r="H1175" s="3236" t="s">
        <v>4464</v>
      </c>
      <c r="I1175" s="3236">
        <v>29.09</v>
      </c>
    </row>
    <row r="1176" spans="1:9" ht="11.25" hidden="1" customHeight="1" x14ac:dyDescent="0.2">
      <c r="A1176" s="3237" t="s">
        <v>4475</v>
      </c>
      <c r="B1176" s="3237" t="s">
        <v>4400</v>
      </c>
      <c r="C1176" s="3237" t="s">
        <v>4461</v>
      </c>
      <c r="D1176" s="3237" t="s">
        <v>4462</v>
      </c>
      <c r="E1176" s="3237" t="s">
        <v>4476</v>
      </c>
      <c r="F1176" s="3237" t="s">
        <v>4444</v>
      </c>
      <c r="G1176" s="3237" t="s">
        <v>3221</v>
      </c>
      <c r="H1176" s="3236" t="s">
        <v>4464</v>
      </c>
      <c r="I1176" s="3236">
        <v>29.09</v>
      </c>
    </row>
    <row r="1177" spans="1:9" ht="11.25" hidden="1" customHeight="1" x14ac:dyDescent="0.2">
      <c r="A1177" s="3237" t="s">
        <v>4475</v>
      </c>
      <c r="B1177" s="3237" t="s">
        <v>4401</v>
      </c>
      <c r="C1177" s="3237" t="s">
        <v>4461</v>
      </c>
      <c r="D1177" s="3237" t="s">
        <v>4462</v>
      </c>
      <c r="E1177" s="3237" t="s">
        <v>4476</v>
      </c>
      <c r="F1177" s="3237" t="s">
        <v>4444</v>
      </c>
      <c r="G1177" s="3237" t="s">
        <v>3221</v>
      </c>
      <c r="H1177" s="3236" t="s">
        <v>4464</v>
      </c>
      <c r="I1177" s="3236">
        <v>29.09</v>
      </c>
    </row>
    <row r="1178" spans="1:9" ht="11.25" hidden="1" customHeight="1" x14ac:dyDescent="0.2">
      <c r="A1178" s="3237" t="s">
        <v>4475</v>
      </c>
      <c r="B1178" s="3237" t="s">
        <v>4402</v>
      </c>
      <c r="C1178" s="3237" t="s">
        <v>4461</v>
      </c>
      <c r="D1178" s="3237" t="s">
        <v>4462</v>
      </c>
      <c r="E1178" s="3237" t="s">
        <v>4476</v>
      </c>
      <c r="F1178" s="3237" t="s">
        <v>4444</v>
      </c>
      <c r="G1178" s="3237" t="s">
        <v>3221</v>
      </c>
      <c r="H1178" s="3236" t="s">
        <v>4464</v>
      </c>
      <c r="I1178" s="3236">
        <v>29.09</v>
      </c>
    </row>
    <row r="1179" spans="1:9" ht="11.25" hidden="1" customHeight="1" x14ac:dyDescent="0.2">
      <c r="A1179" s="3237" t="s">
        <v>4475</v>
      </c>
      <c r="B1179" s="3237" t="s">
        <v>4403</v>
      </c>
      <c r="C1179" s="3237" t="s">
        <v>4461</v>
      </c>
      <c r="D1179" s="3237" t="s">
        <v>4462</v>
      </c>
      <c r="E1179" s="3237" t="s">
        <v>4476</v>
      </c>
      <c r="F1179" s="3237" t="s">
        <v>4444</v>
      </c>
      <c r="G1179" s="3237" t="s">
        <v>3221</v>
      </c>
      <c r="H1179" s="3236" t="s">
        <v>4464</v>
      </c>
      <c r="I1179" s="3236">
        <v>29.09</v>
      </c>
    </row>
    <row r="1180" spans="1:9" ht="11.25" hidden="1" customHeight="1" x14ac:dyDescent="0.2">
      <c r="A1180" s="3237" t="s">
        <v>4475</v>
      </c>
      <c r="B1180" s="3237" t="s">
        <v>4404</v>
      </c>
      <c r="C1180" s="3237" t="s">
        <v>4461</v>
      </c>
      <c r="D1180" s="3237" t="s">
        <v>4462</v>
      </c>
      <c r="E1180" s="3237" t="s">
        <v>4476</v>
      </c>
      <c r="F1180" s="3237" t="s">
        <v>4444</v>
      </c>
      <c r="G1180" s="3237" t="s">
        <v>3221</v>
      </c>
      <c r="H1180" s="3236" t="s">
        <v>4464</v>
      </c>
      <c r="I1180" s="3236">
        <v>29.09</v>
      </c>
    </row>
    <row r="1181" spans="1:9" ht="11.25" hidden="1" customHeight="1" x14ac:dyDescent="0.2">
      <c r="A1181" s="3237" t="s">
        <v>4475</v>
      </c>
      <c r="B1181" s="3237" t="s">
        <v>4405</v>
      </c>
      <c r="C1181" s="3237" t="s">
        <v>4461</v>
      </c>
      <c r="D1181" s="3237" t="s">
        <v>4462</v>
      </c>
      <c r="E1181" s="3237" t="s">
        <v>4476</v>
      </c>
      <c r="F1181" s="3237" t="s">
        <v>4444</v>
      </c>
      <c r="G1181" s="3237" t="s">
        <v>3221</v>
      </c>
      <c r="H1181" s="3236" t="s">
        <v>4464</v>
      </c>
      <c r="I1181" s="3236">
        <v>29.09</v>
      </c>
    </row>
    <row r="1182" spans="1:9" ht="11.25" hidden="1" customHeight="1" x14ac:dyDescent="0.2">
      <c r="A1182" s="3237" t="s">
        <v>4475</v>
      </c>
      <c r="B1182" s="3237" t="s">
        <v>4406</v>
      </c>
      <c r="C1182" s="3237" t="s">
        <v>4461</v>
      </c>
      <c r="D1182" s="3237" t="s">
        <v>4462</v>
      </c>
      <c r="E1182" s="3237" t="s">
        <v>4476</v>
      </c>
      <c r="F1182" s="3237" t="s">
        <v>4444</v>
      </c>
      <c r="G1182" s="3237" t="s">
        <v>3221</v>
      </c>
      <c r="H1182" s="3236" t="s">
        <v>4464</v>
      </c>
      <c r="I1182" s="3236">
        <v>29.09</v>
      </c>
    </row>
    <row r="1183" spans="1:9" ht="11.25" hidden="1" customHeight="1" x14ac:dyDescent="0.2">
      <c r="A1183" s="3237" t="s">
        <v>4475</v>
      </c>
      <c r="B1183" s="3237" t="s">
        <v>4407</v>
      </c>
      <c r="C1183" s="3237" t="s">
        <v>4461</v>
      </c>
      <c r="D1183" s="3237" t="s">
        <v>4462</v>
      </c>
      <c r="E1183" s="3237" t="s">
        <v>4476</v>
      </c>
      <c r="F1183" s="3237" t="s">
        <v>4444</v>
      </c>
      <c r="G1183" s="3237" t="s">
        <v>3221</v>
      </c>
      <c r="H1183" s="3236" t="s">
        <v>4464</v>
      </c>
      <c r="I1183" s="3236">
        <v>29.09</v>
      </c>
    </row>
    <row r="1184" spans="1:9" ht="11.25" hidden="1" customHeight="1" x14ac:dyDescent="0.2">
      <c r="A1184" s="3237" t="s">
        <v>4475</v>
      </c>
      <c r="B1184" s="3237" t="s">
        <v>4408</v>
      </c>
      <c r="C1184" s="3237" t="s">
        <v>4461</v>
      </c>
      <c r="D1184" s="3237" t="s">
        <v>4462</v>
      </c>
      <c r="E1184" s="3237" t="s">
        <v>4476</v>
      </c>
      <c r="F1184" s="3237" t="s">
        <v>4444</v>
      </c>
      <c r="G1184" s="3237" t="s">
        <v>3221</v>
      </c>
      <c r="H1184" s="3236" t="s">
        <v>4464</v>
      </c>
      <c r="I1184" s="3236">
        <v>29.09</v>
      </c>
    </row>
    <row r="1185" spans="1:9" ht="11.25" hidden="1" customHeight="1" x14ac:dyDescent="0.2">
      <c r="A1185" s="3237" t="s">
        <v>4475</v>
      </c>
      <c r="B1185" s="3237" t="s">
        <v>4409</v>
      </c>
      <c r="C1185" s="3237" t="s">
        <v>4461</v>
      </c>
      <c r="D1185" s="3237" t="s">
        <v>4462</v>
      </c>
      <c r="E1185" s="3237" t="s">
        <v>4476</v>
      </c>
      <c r="F1185" s="3237" t="s">
        <v>4444</v>
      </c>
      <c r="G1185" s="3237" t="s">
        <v>3221</v>
      </c>
      <c r="H1185" s="3236" t="s">
        <v>4464</v>
      </c>
      <c r="I1185" s="3236">
        <v>29.09</v>
      </c>
    </row>
    <row r="1186" spans="1:9" ht="11.25" hidden="1" customHeight="1" x14ac:dyDescent="0.2">
      <c r="A1186" s="3237" t="s">
        <v>4475</v>
      </c>
      <c r="B1186" s="3237" t="s">
        <v>4410</v>
      </c>
      <c r="C1186" s="3237" t="s">
        <v>4461</v>
      </c>
      <c r="D1186" s="3237" t="s">
        <v>4462</v>
      </c>
      <c r="E1186" s="3237" t="s">
        <v>4476</v>
      </c>
      <c r="F1186" s="3237" t="s">
        <v>4444</v>
      </c>
      <c r="G1186" s="3237" t="s">
        <v>3221</v>
      </c>
      <c r="H1186" s="3236" t="s">
        <v>4464</v>
      </c>
      <c r="I1186" s="3236">
        <v>29.09</v>
      </c>
    </row>
    <row r="1187" spans="1:9" ht="11.25" hidden="1" customHeight="1" x14ac:dyDescent="0.2">
      <c r="A1187" s="3237" t="s">
        <v>4475</v>
      </c>
      <c r="B1187" s="3237" t="s">
        <v>4411</v>
      </c>
      <c r="C1187" s="3237" t="s">
        <v>4461</v>
      </c>
      <c r="D1187" s="3237" t="s">
        <v>4462</v>
      </c>
      <c r="E1187" s="3237" t="s">
        <v>4476</v>
      </c>
      <c r="F1187" s="3237" t="s">
        <v>4444</v>
      </c>
      <c r="G1187" s="3237" t="s">
        <v>3221</v>
      </c>
      <c r="H1187" s="3236" t="s">
        <v>4464</v>
      </c>
      <c r="I1187" s="3236">
        <v>29.09</v>
      </c>
    </row>
    <row r="1188" spans="1:9" ht="11.25" hidden="1" customHeight="1" x14ac:dyDescent="0.2">
      <c r="A1188" s="3237" t="s">
        <v>4475</v>
      </c>
      <c r="B1188" s="3237" t="s">
        <v>4412</v>
      </c>
      <c r="C1188" s="3237" t="s">
        <v>4461</v>
      </c>
      <c r="D1188" s="3237" t="s">
        <v>4462</v>
      </c>
      <c r="E1188" s="3237" t="s">
        <v>4476</v>
      </c>
      <c r="F1188" s="3237" t="s">
        <v>4444</v>
      </c>
      <c r="G1188" s="3237" t="s">
        <v>3221</v>
      </c>
      <c r="H1188" s="3236" t="s">
        <v>4464</v>
      </c>
      <c r="I1188" s="3236">
        <v>29.09</v>
      </c>
    </row>
    <row r="1189" spans="1:9" ht="11.25" hidden="1" customHeight="1" x14ac:dyDescent="0.2">
      <c r="A1189" s="3237" t="s">
        <v>4475</v>
      </c>
      <c r="B1189" s="3237" t="s">
        <v>4413</v>
      </c>
      <c r="C1189" s="3237" t="s">
        <v>4461</v>
      </c>
      <c r="D1189" s="3237" t="s">
        <v>4462</v>
      </c>
      <c r="E1189" s="3237" t="s">
        <v>4476</v>
      </c>
      <c r="F1189" s="3237" t="s">
        <v>4444</v>
      </c>
      <c r="G1189" s="3237" t="s">
        <v>3221</v>
      </c>
      <c r="H1189" s="3236" t="s">
        <v>4464</v>
      </c>
      <c r="I1189" s="3236">
        <v>29.09</v>
      </c>
    </row>
    <row r="1190" spans="1:9" ht="11.25" hidden="1" customHeight="1" x14ac:dyDescent="0.2">
      <c r="A1190" s="3237" t="s">
        <v>4475</v>
      </c>
      <c r="B1190" s="3237" t="s">
        <v>4414</v>
      </c>
      <c r="C1190" s="3237" t="s">
        <v>4461</v>
      </c>
      <c r="D1190" s="3237" t="s">
        <v>4462</v>
      </c>
      <c r="E1190" s="3237" t="s">
        <v>4476</v>
      </c>
      <c r="F1190" s="3237" t="s">
        <v>4444</v>
      </c>
      <c r="G1190" s="3237" t="s">
        <v>3221</v>
      </c>
      <c r="H1190" s="3236" t="s">
        <v>4464</v>
      </c>
      <c r="I1190" s="3236">
        <v>29.09</v>
      </c>
    </row>
    <row r="1191" spans="1:9" ht="11.25" hidden="1" customHeight="1" x14ac:dyDescent="0.2">
      <c r="A1191" s="3237" t="s">
        <v>4475</v>
      </c>
      <c r="B1191" s="3237" t="s">
        <v>4415</v>
      </c>
      <c r="C1191" s="3237" t="s">
        <v>4461</v>
      </c>
      <c r="D1191" s="3237" t="s">
        <v>4462</v>
      </c>
      <c r="E1191" s="3237" t="s">
        <v>4476</v>
      </c>
      <c r="F1191" s="3237" t="s">
        <v>4444</v>
      </c>
      <c r="G1191" s="3237" t="s">
        <v>3221</v>
      </c>
      <c r="H1191" s="3236" t="s">
        <v>4464</v>
      </c>
      <c r="I1191" s="3236">
        <v>29.09</v>
      </c>
    </row>
    <row r="1192" spans="1:9" ht="11.25" hidden="1" customHeight="1" x14ac:dyDescent="0.2">
      <c r="A1192" s="3237" t="s">
        <v>4475</v>
      </c>
      <c r="B1192" s="3237" t="s">
        <v>4416</v>
      </c>
      <c r="C1192" s="3237" t="s">
        <v>4461</v>
      </c>
      <c r="D1192" s="3237" t="s">
        <v>4462</v>
      </c>
      <c r="E1192" s="3237" t="s">
        <v>4476</v>
      </c>
      <c r="F1192" s="3237" t="s">
        <v>4444</v>
      </c>
      <c r="G1192" s="3237" t="s">
        <v>3221</v>
      </c>
      <c r="H1192" s="3236" t="s">
        <v>4464</v>
      </c>
      <c r="I1192" s="3236">
        <v>29.09</v>
      </c>
    </row>
    <row r="1193" spans="1:9" ht="11.25" hidden="1" customHeight="1" x14ac:dyDescent="0.2">
      <c r="A1193" s="3237" t="s">
        <v>4475</v>
      </c>
      <c r="B1193" s="3237" t="s">
        <v>4417</v>
      </c>
      <c r="C1193" s="3237" t="s">
        <v>4461</v>
      </c>
      <c r="D1193" s="3237" t="s">
        <v>4462</v>
      </c>
      <c r="E1193" s="3237" t="s">
        <v>4476</v>
      </c>
      <c r="F1193" s="3237" t="s">
        <v>4444</v>
      </c>
      <c r="G1193" s="3237" t="s">
        <v>3221</v>
      </c>
      <c r="H1193" s="3236" t="s">
        <v>4464</v>
      </c>
      <c r="I1193" s="3236">
        <v>29.09</v>
      </c>
    </row>
    <row r="1194" spans="1:9" ht="11.25" hidden="1" customHeight="1" x14ac:dyDescent="0.2">
      <c r="A1194" s="3237" t="s">
        <v>4475</v>
      </c>
      <c r="B1194" s="3237" t="s">
        <v>4418</v>
      </c>
      <c r="C1194" s="3237" t="s">
        <v>4461</v>
      </c>
      <c r="D1194" s="3237" t="s">
        <v>4462</v>
      </c>
      <c r="E1194" s="3237" t="s">
        <v>4476</v>
      </c>
      <c r="F1194" s="3237" t="s">
        <v>4444</v>
      </c>
      <c r="G1194" s="3237" t="s">
        <v>3221</v>
      </c>
      <c r="H1194" s="3236" t="s">
        <v>4464</v>
      </c>
      <c r="I1194" s="3236">
        <v>29.09</v>
      </c>
    </row>
    <row r="1195" spans="1:9" ht="11.25" hidden="1" customHeight="1" x14ac:dyDescent="0.2">
      <c r="A1195" s="3237" t="s">
        <v>4475</v>
      </c>
      <c r="B1195" s="3237" t="s">
        <v>4419</v>
      </c>
      <c r="C1195" s="3237" t="s">
        <v>4461</v>
      </c>
      <c r="D1195" s="3237" t="s">
        <v>4462</v>
      </c>
      <c r="E1195" s="3237" t="s">
        <v>4476</v>
      </c>
      <c r="F1195" s="3237" t="s">
        <v>4444</v>
      </c>
      <c r="G1195" s="3237" t="s">
        <v>3221</v>
      </c>
      <c r="H1195" s="3236" t="s">
        <v>4464</v>
      </c>
      <c r="I1195" s="3236">
        <v>29.09</v>
      </c>
    </row>
    <row r="1196" spans="1:9" ht="11.25" hidden="1" customHeight="1" x14ac:dyDescent="0.2">
      <c r="A1196" s="3237" t="s">
        <v>4475</v>
      </c>
      <c r="B1196" s="3237" t="s">
        <v>4420</v>
      </c>
      <c r="C1196" s="3237" t="s">
        <v>4461</v>
      </c>
      <c r="D1196" s="3237" t="s">
        <v>4462</v>
      </c>
      <c r="E1196" s="3237" t="s">
        <v>4476</v>
      </c>
      <c r="F1196" s="3237" t="s">
        <v>4444</v>
      </c>
      <c r="G1196" s="3237" t="s">
        <v>3221</v>
      </c>
      <c r="H1196" s="3236" t="s">
        <v>4464</v>
      </c>
      <c r="I1196" s="3236">
        <v>29.09</v>
      </c>
    </row>
    <row r="1197" spans="1:9" ht="11.25" hidden="1" customHeight="1" x14ac:dyDescent="0.2">
      <c r="A1197" s="3237" t="s">
        <v>4475</v>
      </c>
      <c r="B1197" s="3237" t="s">
        <v>4421</v>
      </c>
      <c r="C1197" s="3237" t="s">
        <v>4461</v>
      </c>
      <c r="D1197" s="3237" t="s">
        <v>4462</v>
      </c>
      <c r="E1197" s="3237" t="s">
        <v>4476</v>
      </c>
      <c r="F1197" s="3237" t="s">
        <v>4444</v>
      </c>
      <c r="G1197" s="3237" t="s">
        <v>3221</v>
      </c>
      <c r="H1197" s="3236" t="s">
        <v>4464</v>
      </c>
      <c r="I1197" s="3236">
        <v>29.09</v>
      </c>
    </row>
    <row r="1198" spans="1:9" ht="11.25" hidden="1" customHeight="1" x14ac:dyDescent="0.2">
      <c r="A1198" s="3237" t="s">
        <v>4475</v>
      </c>
      <c r="B1198" s="3237" t="s">
        <v>4422</v>
      </c>
      <c r="C1198" s="3237" t="s">
        <v>4461</v>
      </c>
      <c r="D1198" s="3237" t="s">
        <v>4462</v>
      </c>
      <c r="E1198" s="3237" t="s">
        <v>4476</v>
      </c>
      <c r="F1198" s="3237" t="s">
        <v>4444</v>
      </c>
      <c r="G1198" s="3237" t="s">
        <v>3221</v>
      </c>
      <c r="H1198" s="3236" t="s">
        <v>4464</v>
      </c>
      <c r="I1198" s="3236">
        <v>29.09</v>
      </c>
    </row>
    <row r="1199" spans="1:9" ht="11.25" hidden="1" customHeight="1" x14ac:dyDescent="0.2">
      <c r="A1199" s="3237" t="s">
        <v>4475</v>
      </c>
      <c r="B1199" s="3237" t="s">
        <v>4423</v>
      </c>
      <c r="C1199" s="3237" t="s">
        <v>4461</v>
      </c>
      <c r="D1199" s="3237" t="s">
        <v>4462</v>
      </c>
      <c r="E1199" s="3237" t="s">
        <v>4476</v>
      </c>
      <c r="F1199" s="3237" t="s">
        <v>4444</v>
      </c>
      <c r="G1199" s="3237" t="s">
        <v>3221</v>
      </c>
      <c r="H1199" s="3236" t="s">
        <v>4464</v>
      </c>
      <c r="I1199" s="3236">
        <v>29.09</v>
      </c>
    </row>
    <row r="1200" spans="1:9" ht="11.25" hidden="1" customHeight="1" x14ac:dyDescent="0.2">
      <c r="A1200" s="3237" t="s">
        <v>4475</v>
      </c>
      <c r="B1200" s="3237" t="s">
        <v>4424</v>
      </c>
      <c r="C1200" s="3237" t="s">
        <v>4461</v>
      </c>
      <c r="D1200" s="3237" t="s">
        <v>4462</v>
      </c>
      <c r="E1200" s="3237" t="s">
        <v>4476</v>
      </c>
      <c r="F1200" s="3237" t="s">
        <v>4444</v>
      </c>
      <c r="G1200" s="3237" t="s">
        <v>3221</v>
      </c>
      <c r="H1200" s="3236" t="s">
        <v>4464</v>
      </c>
      <c r="I1200" s="3236">
        <v>29.09</v>
      </c>
    </row>
    <row r="1201" spans="1:9" ht="11.25" hidden="1" customHeight="1" x14ac:dyDescent="0.2">
      <c r="A1201" s="3237" t="s">
        <v>4475</v>
      </c>
      <c r="B1201" s="3237" t="s">
        <v>4425</v>
      </c>
      <c r="C1201" s="3237" t="s">
        <v>4461</v>
      </c>
      <c r="D1201" s="3237" t="s">
        <v>4462</v>
      </c>
      <c r="E1201" s="3237" t="s">
        <v>4476</v>
      </c>
      <c r="F1201" s="3237" t="s">
        <v>4444</v>
      </c>
      <c r="G1201" s="3237" t="s">
        <v>3221</v>
      </c>
      <c r="H1201" s="3236" t="s">
        <v>4464</v>
      </c>
      <c r="I1201" s="3236">
        <v>29.09</v>
      </c>
    </row>
    <row r="1202" spans="1:9" ht="11.25" hidden="1" customHeight="1" x14ac:dyDescent="0.2">
      <c r="A1202" s="3237" t="s">
        <v>4475</v>
      </c>
      <c r="B1202" s="3237" t="s">
        <v>4426</v>
      </c>
      <c r="C1202" s="3237" t="s">
        <v>4461</v>
      </c>
      <c r="D1202" s="3237" t="s">
        <v>4462</v>
      </c>
      <c r="E1202" s="3237" t="s">
        <v>4476</v>
      </c>
      <c r="F1202" s="3237" t="s">
        <v>4444</v>
      </c>
      <c r="G1202" s="3237" t="s">
        <v>3221</v>
      </c>
      <c r="H1202" s="3236" t="s">
        <v>4464</v>
      </c>
      <c r="I1202" s="3236">
        <v>29.09</v>
      </c>
    </row>
    <row r="1203" spans="1:9" ht="11.25" hidden="1" customHeight="1" x14ac:dyDescent="0.2">
      <c r="A1203" s="3237" t="s">
        <v>4475</v>
      </c>
      <c r="B1203" s="3237" t="s">
        <v>4427</v>
      </c>
      <c r="C1203" s="3237" t="s">
        <v>4461</v>
      </c>
      <c r="D1203" s="3237" t="s">
        <v>4462</v>
      </c>
      <c r="E1203" s="3237" t="s">
        <v>4476</v>
      </c>
      <c r="F1203" s="3237" t="s">
        <v>4444</v>
      </c>
      <c r="G1203" s="3237" t="s">
        <v>3221</v>
      </c>
      <c r="H1203" s="3236" t="s">
        <v>4464</v>
      </c>
      <c r="I1203" s="3236">
        <v>29.09</v>
      </c>
    </row>
    <row r="1204" spans="1:9" ht="11.25" hidden="1" customHeight="1" x14ac:dyDescent="0.2">
      <c r="A1204" s="3237" t="s">
        <v>4475</v>
      </c>
      <c r="B1204" s="3237" t="s">
        <v>4428</v>
      </c>
      <c r="C1204" s="3237" t="s">
        <v>4461</v>
      </c>
      <c r="D1204" s="3237" t="s">
        <v>4462</v>
      </c>
      <c r="E1204" s="3237" t="s">
        <v>4476</v>
      </c>
      <c r="F1204" s="3237" t="s">
        <v>4444</v>
      </c>
      <c r="G1204" s="3237" t="s">
        <v>3221</v>
      </c>
      <c r="H1204" s="3236" t="s">
        <v>4464</v>
      </c>
      <c r="I1204" s="3236">
        <v>29.09</v>
      </c>
    </row>
    <row r="1205" spans="1:9" ht="11.25" hidden="1" customHeight="1" x14ac:dyDescent="0.2">
      <c r="A1205" s="3237" t="s">
        <v>4475</v>
      </c>
      <c r="B1205" s="3237" t="s">
        <v>4429</v>
      </c>
      <c r="C1205" s="3237" t="s">
        <v>4461</v>
      </c>
      <c r="D1205" s="3237" t="s">
        <v>4462</v>
      </c>
      <c r="E1205" s="3237" t="s">
        <v>4476</v>
      </c>
      <c r="F1205" s="3237" t="s">
        <v>4444</v>
      </c>
      <c r="G1205" s="3237" t="s">
        <v>3221</v>
      </c>
      <c r="H1205" s="3236" t="s">
        <v>4464</v>
      </c>
      <c r="I1205" s="3236">
        <v>29.09</v>
      </c>
    </row>
    <row r="1206" spans="1:9" ht="11.25" hidden="1" customHeight="1" x14ac:dyDescent="0.2">
      <c r="A1206" s="3237" t="s">
        <v>4475</v>
      </c>
      <c r="B1206" s="3237" t="s">
        <v>4430</v>
      </c>
      <c r="C1206" s="3237" t="s">
        <v>4461</v>
      </c>
      <c r="D1206" s="3237" t="s">
        <v>4462</v>
      </c>
      <c r="E1206" s="3237" t="s">
        <v>4476</v>
      </c>
      <c r="F1206" s="3237" t="s">
        <v>4444</v>
      </c>
      <c r="G1206" s="3237" t="s">
        <v>3221</v>
      </c>
      <c r="H1206" s="3236" t="s">
        <v>4464</v>
      </c>
      <c r="I1206" s="3236">
        <v>29.09</v>
      </c>
    </row>
    <row r="1207" spans="1:9" ht="11.25" hidden="1" customHeight="1" x14ac:dyDescent="0.2">
      <c r="A1207" s="3237" t="s">
        <v>4475</v>
      </c>
      <c r="B1207" s="3237" t="s">
        <v>4431</v>
      </c>
      <c r="C1207" s="3237" t="s">
        <v>4461</v>
      </c>
      <c r="D1207" s="3237" t="s">
        <v>4462</v>
      </c>
      <c r="E1207" s="3237" t="s">
        <v>4476</v>
      </c>
      <c r="F1207" s="3237" t="s">
        <v>4444</v>
      </c>
      <c r="G1207" s="3237" t="s">
        <v>3221</v>
      </c>
      <c r="H1207" s="3236" t="s">
        <v>4464</v>
      </c>
      <c r="I1207" s="3236">
        <v>29.09</v>
      </c>
    </row>
    <row r="1208" spans="1:9" ht="11.25" hidden="1" customHeight="1" x14ac:dyDescent="0.2">
      <c r="A1208" s="3237" t="s">
        <v>4475</v>
      </c>
      <c r="B1208" s="3237" t="s">
        <v>4432</v>
      </c>
      <c r="C1208" s="3237" t="s">
        <v>4461</v>
      </c>
      <c r="D1208" s="3237" t="s">
        <v>4462</v>
      </c>
      <c r="E1208" s="3237" t="s">
        <v>4476</v>
      </c>
      <c r="F1208" s="3237" t="s">
        <v>4444</v>
      </c>
      <c r="G1208" s="3237" t="s">
        <v>3221</v>
      </c>
      <c r="H1208" s="3236" t="s">
        <v>4464</v>
      </c>
      <c r="I1208" s="3236">
        <v>29.09</v>
      </c>
    </row>
    <row r="1209" spans="1:9" ht="11.25" hidden="1" customHeight="1" x14ac:dyDescent="0.2">
      <c r="A1209" s="3237" t="s">
        <v>4475</v>
      </c>
      <c r="B1209" s="3237" t="s">
        <v>4433</v>
      </c>
      <c r="C1209" s="3237" t="s">
        <v>4461</v>
      </c>
      <c r="D1209" s="3237" t="s">
        <v>4462</v>
      </c>
      <c r="E1209" s="3237" t="s">
        <v>4476</v>
      </c>
      <c r="F1209" s="3237" t="s">
        <v>4444</v>
      </c>
      <c r="G1209" s="3237" t="s">
        <v>3221</v>
      </c>
      <c r="H1209" s="3236" t="s">
        <v>4464</v>
      </c>
      <c r="I1209" s="3236">
        <v>29.09</v>
      </c>
    </row>
    <row r="1210" spans="1:9" ht="11.25" hidden="1" customHeight="1" x14ac:dyDescent="0.2">
      <c r="A1210" s="3237" t="s">
        <v>4475</v>
      </c>
      <c r="B1210" s="3237" t="s">
        <v>4434</v>
      </c>
      <c r="C1210" s="3237" t="s">
        <v>4461</v>
      </c>
      <c r="D1210" s="3237" t="s">
        <v>4462</v>
      </c>
      <c r="E1210" s="3237" t="s">
        <v>4476</v>
      </c>
      <c r="F1210" s="3237" t="s">
        <v>4444</v>
      </c>
      <c r="G1210" s="3237" t="s">
        <v>3221</v>
      </c>
      <c r="H1210" s="3236" t="s">
        <v>4464</v>
      </c>
      <c r="I1210" s="3236">
        <v>29.09</v>
      </c>
    </row>
    <row r="1211" spans="1:9" ht="11.25" hidden="1" customHeight="1" x14ac:dyDescent="0.2">
      <c r="A1211" s="3237" t="s">
        <v>4475</v>
      </c>
      <c r="B1211" s="3237" t="s">
        <v>4435</v>
      </c>
      <c r="C1211" s="3237" t="s">
        <v>4461</v>
      </c>
      <c r="D1211" s="3237" t="s">
        <v>4462</v>
      </c>
      <c r="E1211" s="3237" t="s">
        <v>4476</v>
      </c>
      <c r="F1211" s="3237" t="s">
        <v>4444</v>
      </c>
      <c r="G1211" s="3237" t="s">
        <v>3221</v>
      </c>
      <c r="H1211" s="3236" t="s">
        <v>4464</v>
      </c>
      <c r="I1211" s="3236">
        <v>29.09</v>
      </c>
    </row>
    <row r="1212" spans="1:9" ht="11.25" hidden="1" customHeight="1" x14ac:dyDescent="0.2">
      <c r="A1212" s="3237" t="s">
        <v>4475</v>
      </c>
      <c r="B1212" s="3237" t="s">
        <v>4436</v>
      </c>
      <c r="C1212" s="3237" t="s">
        <v>4461</v>
      </c>
      <c r="D1212" s="3237" t="s">
        <v>4462</v>
      </c>
      <c r="E1212" s="3237" t="s">
        <v>4476</v>
      </c>
      <c r="F1212" s="3237" t="s">
        <v>4444</v>
      </c>
      <c r="G1212" s="3237" t="s">
        <v>3221</v>
      </c>
      <c r="H1212" s="3236" t="s">
        <v>4464</v>
      </c>
      <c r="I1212" s="3236">
        <v>29.09</v>
      </c>
    </row>
    <row r="1213" spans="1:9" ht="11.25" hidden="1" customHeight="1" x14ac:dyDescent="0.2">
      <c r="A1213" s="3237" t="s">
        <v>4475</v>
      </c>
      <c r="B1213" s="3237" t="s">
        <v>4437</v>
      </c>
      <c r="C1213" s="3237" t="s">
        <v>4461</v>
      </c>
      <c r="D1213" s="3237" t="s">
        <v>4462</v>
      </c>
      <c r="E1213" s="3237" t="s">
        <v>4476</v>
      </c>
      <c r="F1213" s="3237" t="s">
        <v>4444</v>
      </c>
      <c r="G1213" s="3237" t="s">
        <v>3221</v>
      </c>
      <c r="H1213" s="3236" t="s">
        <v>4464</v>
      </c>
      <c r="I1213" s="3236">
        <v>29.09</v>
      </c>
    </row>
    <row r="1214" spans="1:9" ht="11.25" hidden="1" customHeight="1" x14ac:dyDescent="0.2">
      <c r="A1214" s="3237" t="s">
        <v>4475</v>
      </c>
      <c r="B1214" s="3237" t="s">
        <v>4438</v>
      </c>
      <c r="C1214" s="3237" t="s">
        <v>4461</v>
      </c>
      <c r="D1214" s="3237" t="s">
        <v>4462</v>
      </c>
      <c r="E1214" s="3237" t="s">
        <v>4476</v>
      </c>
      <c r="F1214" s="3237" t="s">
        <v>4444</v>
      </c>
      <c r="G1214" s="3237" t="s">
        <v>3221</v>
      </c>
      <c r="H1214" s="3236" t="s">
        <v>4464</v>
      </c>
      <c r="I1214" s="3236">
        <v>29.09</v>
      </c>
    </row>
    <row r="1215" spans="1:9" ht="11.25" hidden="1" customHeight="1" x14ac:dyDescent="0.2">
      <c r="A1215" s="3237" t="s">
        <v>4475</v>
      </c>
      <c r="B1215" s="3237" t="s">
        <v>4439</v>
      </c>
      <c r="C1215" s="3237" t="s">
        <v>4461</v>
      </c>
      <c r="D1215" s="3237" t="s">
        <v>4462</v>
      </c>
      <c r="E1215" s="3237" t="s">
        <v>4476</v>
      </c>
      <c r="F1215" s="3237" t="s">
        <v>4444</v>
      </c>
      <c r="G1215" s="3237" t="s">
        <v>3221</v>
      </c>
      <c r="H1215" s="3236" t="s">
        <v>4464</v>
      </c>
      <c r="I1215" s="3236">
        <v>29.09</v>
      </c>
    </row>
    <row r="1216" spans="1:9" ht="11.25" hidden="1" customHeight="1" x14ac:dyDescent="0.2">
      <c r="A1216" s="3237" t="s">
        <v>4475</v>
      </c>
      <c r="B1216" s="3237" t="s">
        <v>4440</v>
      </c>
      <c r="C1216" s="3237" t="s">
        <v>4461</v>
      </c>
      <c r="D1216" s="3237" t="s">
        <v>4462</v>
      </c>
      <c r="E1216" s="3237" t="s">
        <v>4476</v>
      </c>
      <c r="F1216" s="3237" t="s">
        <v>4444</v>
      </c>
      <c r="G1216" s="3237" t="s">
        <v>3221</v>
      </c>
      <c r="H1216" s="3236" t="s">
        <v>4464</v>
      </c>
      <c r="I1216" s="3236">
        <v>29.09</v>
      </c>
    </row>
    <row r="1217" spans="1:9" ht="11.25" hidden="1" customHeight="1" x14ac:dyDescent="0.2">
      <c r="A1217" s="3237" t="s">
        <v>4475</v>
      </c>
      <c r="B1217" s="3237" t="s">
        <v>4441</v>
      </c>
      <c r="C1217" s="3237" t="s">
        <v>4461</v>
      </c>
      <c r="D1217" s="3237" t="s">
        <v>4462</v>
      </c>
      <c r="E1217" s="3237" t="s">
        <v>4476</v>
      </c>
      <c r="F1217" s="3237" t="s">
        <v>4444</v>
      </c>
      <c r="G1217" s="3237" t="s">
        <v>3221</v>
      </c>
      <c r="H1217" s="3236" t="s">
        <v>4464</v>
      </c>
      <c r="I1217" s="3236">
        <v>29.09</v>
      </c>
    </row>
    <row r="1218" spans="1:9" ht="11.25" hidden="1" customHeight="1" x14ac:dyDescent="0.2">
      <c r="A1218" s="3237" t="s">
        <v>4475</v>
      </c>
      <c r="B1218" s="3237" t="s">
        <v>4442</v>
      </c>
      <c r="C1218" s="3237" t="s">
        <v>4461</v>
      </c>
      <c r="D1218" s="3237" t="s">
        <v>4462</v>
      </c>
      <c r="E1218" s="3237" t="s">
        <v>4476</v>
      </c>
      <c r="F1218" s="3237" t="s">
        <v>4444</v>
      </c>
      <c r="G1218" s="3237" t="s">
        <v>3221</v>
      </c>
      <c r="H1218" s="3236" t="s">
        <v>4464</v>
      </c>
      <c r="I1218" s="3236">
        <v>29.09</v>
      </c>
    </row>
    <row r="1219" spans="1:9" ht="11.25" hidden="1" customHeight="1" x14ac:dyDescent="0.2">
      <c r="A1219" s="3237" t="s">
        <v>4475</v>
      </c>
      <c r="B1219" s="3237" t="s">
        <v>4443</v>
      </c>
      <c r="C1219" s="3237" t="s">
        <v>4461</v>
      </c>
      <c r="D1219" s="3237" t="s">
        <v>4462</v>
      </c>
      <c r="E1219" s="3237" t="s">
        <v>4476</v>
      </c>
      <c r="F1219" s="3237" t="s">
        <v>4444</v>
      </c>
      <c r="G1219" s="3237" t="s">
        <v>3221</v>
      </c>
      <c r="H1219" s="3236" t="s">
        <v>4464</v>
      </c>
      <c r="I1219" s="3236">
        <v>29.09</v>
      </c>
    </row>
    <row r="1220" spans="1:9" ht="11.25" hidden="1" customHeight="1" x14ac:dyDescent="0.2">
      <c r="A1220" s="3245"/>
      <c r="B1220" s="3245"/>
      <c r="C1220" s="3245"/>
      <c r="D1220" s="3245"/>
      <c r="E1220" s="3245"/>
      <c r="F1220" s="3245"/>
      <c r="G1220" s="3419" t="s">
        <v>4477</v>
      </c>
      <c r="H1220" s="3419"/>
      <c r="I1220" s="3246">
        <f>SUM(I443:I1219)</f>
        <v>22562.870000000104</v>
      </c>
    </row>
    <row r="1221" spans="1:9" ht="11.25" hidden="1" customHeight="1" x14ac:dyDescent="0.2">
      <c r="A1221" s="3245"/>
      <c r="B1221" s="3245"/>
      <c r="C1221" s="3245"/>
      <c r="D1221" s="3245"/>
      <c r="E1221" s="3245"/>
      <c r="F1221" s="3245"/>
      <c r="G1221" s="3420" t="s">
        <v>4478</v>
      </c>
      <c r="H1221" s="3420"/>
      <c r="I1221" s="3246">
        <f>I339+I425+I442+I1220</f>
        <v>51698.540000000117</v>
      </c>
    </row>
    <row r="1222" spans="1:9" ht="39" customHeight="1" x14ac:dyDescent="0.2">
      <c r="A1222" s="3421" t="s">
        <v>4479</v>
      </c>
      <c r="B1222" s="3421"/>
      <c r="C1222" s="3421"/>
      <c r="D1222" s="3421"/>
      <c r="E1222" s="3421"/>
      <c r="F1222" s="3421"/>
      <c r="G1222" s="3421"/>
      <c r="H1222" s="3421"/>
      <c r="I1222" s="3421"/>
    </row>
    <row r="1224" spans="1:9" ht="11.25" customHeight="1" x14ac:dyDescent="0.2">
      <c r="A1224" s="3418" t="s">
        <v>4480</v>
      </c>
      <c r="B1224" s="3418"/>
      <c r="C1224" s="3418"/>
      <c r="D1224" s="3418"/>
      <c r="E1224" s="3418"/>
      <c r="F1224" s="3418"/>
      <c r="G1224" s="3418"/>
      <c r="H1224" s="3418"/>
      <c r="I1224" s="3418"/>
    </row>
  </sheetData>
  <mergeCells count="17">
    <mergeCell ref="A1224:I1224"/>
    <mergeCell ref="G339:H339"/>
    <mergeCell ref="G425:H425"/>
    <mergeCell ref="G442:H442"/>
    <mergeCell ref="G1220:H1220"/>
    <mergeCell ref="G1221:H1221"/>
    <mergeCell ref="A1222:I1222"/>
    <mergeCell ref="A1:I2"/>
    <mergeCell ref="A4:A6"/>
    <mergeCell ref="B4:B6"/>
    <mergeCell ref="C4:C6"/>
    <mergeCell ref="D4:D6"/>
    <mergeCell ref="E4:F4"/>
    <mergeCell ref="G4:G6"/>
    <mergeCell ref="H4:H6"/>
    <mergeCell ref="I4:I6"/>
    <mergeCell ref="F5:F6"/>
  </mergeCells>
  <phoneticPr fontId="140"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pageSetUpPr fitToPage="1"/>
  </sheetPr>
  <dimension ref="A1:Q91"/>
  <sheetViews>
    <sheetView workbookViewId="0">
      <selection activeCell="A17" sqref="A17:XFD17"/>
    </sheetView>
  </sheetViews>
  <sheetFormatPr baseColWidth="10" defaultColWidth="9" defaultRowHeight="13" x14ac:dyDescent="0.2"/>
  <cols>
    <col min="1" max="1" width="12.5" style="3306" customWidth="1"/>
    <col min="2" max="2" width="5.1640625" style="3306" customWidth="1"/>
    <col min="3" max="3" width="8.33203125" style="3306" customWidth="1"/>
    <col min="4" max="4" width="11.1640625" style="3306" customWidth="1"/>
    <col min="5" max="5" width="14.1640625" style="3306" customWidth="1"/>
    <col min="6" max="6" width="7.6640625" style="3306" customWidth="1"/>
    <col min="7" max="7" width="22.1640625" style="3306" customWidth="1"/>
    <col min="8" max="8" width="9.6640625" style="3306" customWidth="1"/>
    <col min="9" max="10" width="10.33203125" style="3305" customWidth="1"/>
    <col min="11" max="11" width="17.1640625" style="3307" customWidth="1"/>
    <col min="12" max="12" width="8.1640625" style="3305" customWidth="1"/>
    <col min="13" max="13" width="10.83203125" style="3306" customWidth="1"/>
    <col min="14" max="14" width="5" style="3305" customWidth="1"/>
    <col min="15" max="16384" width="9" style="3305"/>
  </cols>
  <sheetData>
    <row r="1" spans="1:17" s="3251" customFormat="1" x14ac:dyDescent="0.2">
      <c r="A1" s="3422" t="s">
        <v>4493</v>
      </c>
      <c r="B1" s="3422"/>
      <c r="C1" s="3422"/>
      <c r="D1" s="3422"/>
      <c r="E1" s="3422"/>
      <c r="F1" s="3422"/>
      <c r="G1" s="3422"/>
      <c r="H1" s="3422"/>
      <c r="I1" s="3422"/>
      <c r="J1" s="3422"/>
      <c r="K1" s="3422"/>
      <c r="L1" s="3422"/>
      <c r="M1" s="3422"/>
    </row>
    <row r="2" spans="1:17" s="3252" customFormat="1" x14ac:dyDescent="0.2">
      <c r="A2" s="3423" t="s">
        <v>4494</v>
      </c>
      <c r="B2" s="3423" t="s">
        <v>4495</v>
      </c>
      <c r="C2" s="3423" t="s">
        <v>4496</v>
      </c>
      <c r="D2" s="3423" t="s">
        <v>4497</v>
      </c>
      <c r="E2" s="3424" t="s">
        <v>4498</v>
      </c>
      <c r="F2" s="3423" t="s">
        <v>4499</v>
      </c>
      <c r="G2" s="3423" t="s">
        <v>4500</v>
      </c>
      <c r="H2" s="3423" t="s">
        <v>4501</v>
      </c>
      <c r="I2" s="3426" t="s">
        <v>4502</v>
      </c>
      <c r="J2" s="3427"/>
      <c r="K2" s="3431" t="s">
        <v>4503</v>
      </c>
      <c r="L2" s="3423" t="s">
        <v>4504</v>
      </c>
      <c r="M2" s="3423" t="s">
        <v>4505</v>
      </c>
    </row>
    <row r="3" spans="1:17" s="3252" customFormat="1" x14ac:dyDescent="0.2">
      <c r="A3" s="3423"/>
      <c r="B3" s="3423"/>
      <c r="C3" s="3423"/>
      <c r="D3" s="3423"/>
      <c r="E3" s="3425"/>
      <c r="F3" s="3423"/>
      <c r="G3" s="3423"/>
      <c r="H3" s="3423"/>
      <c r="I3" s="3428"/>
      <c r="J3" s="3429"/>
      <c r="K3" s="3431"/>
      <c r="L3" s="3423"/>
      <c r="M3" s="3423"/>
    </row>
    <row r="4" spans="1:17" s="3262" customFormat="1" ht="28" x14ac:dyDescent="0.2">
      <c r="A4" s="3253" t="s">
        <v>4506</v>
      </c>
      <c r="B4" s="3253">
        <v>2</v>
      </c>
      <c r="C4" s="3254" t="s">
        <v>4507</v>
      </c>
      <c r="D4" s="3255">
        <v>116.47</v>
      </c>
      <c r="E4" s="3256" t="s">
        <v>4508</v>
      </c>
      <c r="F4" s="3257" t="s">
        <v>4507</v>
      </c>
      <c r="G4" s="3257" t="s">
        <v>4509</v>
      </c>
      <c r="H4" s="3258">
        <v>107.72</v>
      </c>
      <c r="I4" s="3259">
        <v>44477</v>
      </c>
      <c r="J4" s="3259">
        <v>45572</v>
      </c>
      <c r="K4" s="3260">
        <v>492127.8</v>
      </c>
      <c r="L4" s="3261" t="s">
        <v>3242</v>
      </c>
      <c r="M4" s="3258"/>
      <c r="N4" s="3262">
        <v>2</v>
      </c>
      <c r="P4" s="3262">
        <f>K4/D4/365</f>
        <v>11.576331608703988</v>
      </c>
      <c r="Q4" s="3262">
        <f>K4/H4/365</f>
        <v>12.516666751445909</v>
      </c>
    </row>
    <row r="5" spans="1:17" s="3262" customFormat="1" ht="28" x14ac:dyDescent="0.2">
      <c r="A5" s="3253"/>
      <c r="B5" s="3253"/>
      <c r="C5" s="3254" t="s">
        <v>4510</v>
      </c>
      <c r="D5" s="3258">
        <v>1075.9675675675701</v>
      </c>
      <c r="E5" s="3432">
        <v>1567.86</v>
      </c>
      <c r="F5" s="3257" t="s">
        <v>4510</v>
      </c>
      <c r="G5" s="3257" t="s">
        <v>4511</v>
      </c>
      <c r="H5" s="3258">
        <v>995.27</v>
      </c>
      <c r="I5" s="3259">
        <v>44166</v>
      </c>
      <c r="J5" s="3259">
        <v>44957</v>
      </c>
      <c r="K5" s="3260">
        <v>2249801.4248926998</v>
      </c>
      <c r="L5" s="3261" t="s">
        <v>3242</v>
      </c>
      <c r="M5" s="3258" t="s">
        <v>4512</v>
      </c>
      <c r="N5" s="3262">
        <v>2</v>
      </c>
      <c r="Q5" s="3262">
        <f t="shared" ref="Q5:Q67" si="0">K5/H5/365</f>
        <v>6.1931330395309541</v>
      </c>
    </row>
    <row r="6" spans="1:17" s="3262" customFormat="1" ht="14" x14ac:dyDescent="0.2">
      <c r="A6" s="3253"/>
      <c r="B6" s="3253"/>
      <c r="C6" s="3254" t="s">
        <v>4513</v>
      </c>
      <c r="D6" s="3263">
        <v>491.89</v>
      </c>
      <c r="E6" s="3433"/>
      <c r="F6" s="3264" t="s">
        <v>4513</v>
      </c>
      <c r="G6" s="3264" t="s">
        <v>4514</v>
      </c>
      <c r="H6" s="3258">
        <v>455</v>
      </c>
      <c r="I6" s="3259">
        <v>44166</v>
      </c>
      <c r="J6" s="3259">
        <v>44957</v>
      </c>
      <c r="K6" s="3260">
        <v>1066859.6866359401</v>
      </c>
      <c r="L6" s="3261" t="s">
        <v>3242</v>
      </c>
      <c r="M6" s="3258" t="s">
        <v>4515</v>
      </c>
      <c r="N6" s="3262">
        <v>1</v>
      </c>
      <c r="Q6" s="3262">
        <f t="shared" si="0"/>
        <v>6.4239631891370772</v>
      </c>
    </row>
    <row r="7" spans="1:17" s="3274" customFormat="1" ht="28" x14ac:dyDescent="0.2">
      <c r="A7" s="3265"/>
      <c r="B7" s="3266"/>
      <c r="C7" s="3267" t="s">
        <v>4516</v>
      </c>
      <c r="D7" s="3268">
        <v>88.8972972972973</v>
      </c>
      <c r="E7" s="3269" t="s">
        <v>4517</v>
      </c>
      <c r="F7" s="3270" t="s">
        <v>4516</v>
      </c>
      <c r="G7" s="3270" t="s">
        <v>4518</v>
      </c>
      <c r="H7" s="3268">
        <v>82.23</v>
      </c>
      <c r="I7" s="3271">
        <v>44150</v>
      </c>
      <c r="J7" s="3271">
        <v>45274</v>
      </c>
      <c r="K7" s="3272">
        <v>285912.10389610397</v>
      </c>
      <c r="L7" s="3273" t="s">
        <v>3242</v>
      </c>
      <c r="M7" s="3268"/>
      <c r="N7" s="3274">
        <v>2</v>
      </c>
      <c r="Q7" s="3274">
        <f t="shared" si="0"/>
        <v>9.5259738853467795</v>
      </c>
    </row>
    <row r="8" spans="1:17" s="3274" customFormat="1" ht="28" x14ac:dyDescent="0.2">
      <c r="A8" s="3265"/>
      <c r="B8" s="3265"/>
      <c r="C8" s="3267" t="s">
        <v>4519</v>
      </c>
      <c r="D8" s="3275">
        <v>434.66</v>
      </c>
      <c r="E8" s="3434">
        <v>1245.71</v>
      </c>
      <c r="F8" s="3270" t="s">
        <v>4519</v>
      </c>
      <c r="G8" s="3270" t="s">
        <v>4520</v>
      </c>
      <c r="H8" s="3268">
        <v>402.06</v>
      </c>
      <c r="I8" s="3271">
        <v>44540</v>
      </c>
      <c r="J8" s="3271">
        <v>45269</v>
      </c>
      <c r="K8" s="3272">
        <v>1058814.96</v>
      </c>
      <c r="L8" s="3273" t="s">
        <v>3242</v>
      </c>
      <c r="M8" s="3268"/>
      <c r="N8" s="3274">
        <v>1</v>
      </c>
      <c r="Q8" s="3274">
        <f t="shared" si="0"/>
        <v>7.2150000102213321</v>
      </c>
    </row>
    <row r="9" spans="1:17" s="3274" customFormat="1" ht="28" x14ac:dyDescent="0.2">
      <c r="A9" s="3265"/>
      <c r="B9" s="3265"/>
      <c r="C9" s="3267" t="s">
        <v>4521</v>
      </c>
      <c r="D9" s="3275">
        <v>705.44</v>
      </c>
      <c r="E9" s="3435"/>
      <c r="F9" s="3270" t="s">
        <v>4521</v>
      </c>
      <c r="G9" s="3270" t="s">
        <v>4522</v>
      </c>
      <c r="H9" s="3268">
        <v>652.53</v>
      </c>
      <c r="I9" s="3271">
        <v>44166</v>
      </c>
      <c r="J9" s="3271">
        <v>44957</v>
      </c>
      <c r="K9" s="3272">
        <v>1583798.5622119801</v>
      </c>
      <c r="L9" s="3273" t="s">
        <v>3242</v>
      </c>
      <c r="M9" s="3268"/>
      <c r="N9" s="3274">
        <v>0</v>
      </c>
      <c r="Q9" s="3274">
        <f t="shared" si="0"/>
        <v>6.6497695784814814</v>
      </c>
    </row>
    <row r="10" spans="1:17" s="3262" customFormat="1" ht="28" x14ac:dyDescent="0.2">
      <c r="A10" s="3264"/>
      <c r="B10" s="3253"/>
      <c r="C10" s="3254" t="s">
        <v>4523</v>
      </c>
      <c r="D10" s="3255">
        <v>10.93</v>
      </c>
      <c r="E10" s="3256">
        <v>10.93</v>
      </c>
      <c r="F10" s="3257" t="s">
        <v>4523</v>
      </c>
      <c r="G10" s="3257" t="s">
        <v>4524</v>
      </c>
      <c r="H10" s="3258">
        <v>10.11</v>
      </c>
      <c r="I10" s="3259">
        <v>44666</v>
      </c>
      <c r="J10" s="3259">
        <v>45030</v>
      </c>
      <c r="K10" s="3260">
        <v>91257.4</v>
      </c>
      <c r="L10" s="3261" t="s">
        <v>3242</v>
      </c>
      <c r="M10" s="3258"/>
      <c r="N10" s="3262">
        <v>1</v>
      </c>
      <c r="Q10" s="3262">
        <f t="shared" si="0"/>
        <v>24.729997425578908</v>
      </c>
    </row>
    <row r="11" spans="1:17" s="3262" customFormat="1" ht="28" x14ac:dyDescent="0.2">
      <c r="A11" s="3253"/>
      <c r="B11" s="3253"/>
      <c r="C11" s="3254" t="s">
        <v>4525</v>
      </c>
      <c r="D11" s="3255">
        <v>164.42162162162199</v>
      </c>
      <c r="E11" s="3256" t="s">
        <v>4526</v>
      </c>
      <c r="F11" s="3257" t="s">
        <v>4525</v>
      </c>
      <c r="G11" s="3257" t="s">
        <v>4527</v>
      </c>
      <c r="H11" s="3258">
        <v>152.09</v>
      </c>
      <c r="I11" s="3259">
        <v>43698</v>
      </c>
      <c r="J11" s="3259">
        <v>45524</v>
      </c>
      <c r="K11" s="3260">
        <v>700572.17599999998</v>
      </c>
      <c r="L11" s="3261" t="s">
        <v>3242</v>
      </c>
      <c r="M11" s="3258"/>
      <c r="N11" s="3262">
        <v>2</v>
      </c>
      <c r="Q11" s="3262">
        <f t="shared" si="0"/>
        <v>12.620000162124624</v>
      </c>
    </row>
    <row r="12" spans="1:17" s="3274" customFormat="1" ht="28" x14ac:dyDescent="0.2">
      <c r="A12" s="3265"/>
      <c r="B12" s="3265"/>
      <c r="C12" s="3267" t="s">
        <v>4528</v>
      </c>
      <c r="D12" s="3275">
        <v>92.66</v>
      </c>
      <c r="E12" s="3276" t="s">
        <v>4529</v>
      </c>
      <c r="F12" s="3270" t="s">
        <v>4528</v>
      </c>
      <c r="G12" s="3270" t="s">
        <v>4530</v>
      </c>
      <c r="H12" s="3268">
        <v>89.14</v>
      </c>
      <c r="I12" s="3271">
        <v>44446</v>
      </c>
      <c r="J12" s="3271">
        <v>44811</v>
      </c>
      <c r="K12" s="3272">
        <v>346834.84</v>
      </c>
      <c r="L12" s="3273" t="s">
        <v>3242</v>
      </c>
      <c r="M12" s="3274" t="s">
        <v>4531</v>
      </c>
      <c r="N12" s="3277">
        <v>1</v>
      </c>
      <c r="Q12" s="3274">
        <f t="shared" si="0"/>
        <v>10.660000430291277</v>
      </c>
    </row>
    <row r="13" spans="1:17" s="3262" customFormat="1" ht="14" x14ac:dyDescent="0.2">
      <c r="A13" s="3253"/>
      <c r="B13" s="3253"/>
      <c r="C13" s="3254" t="s">
        <v>4532</v>
      </c>
      <c r="D13" s="3255">
        <v>45.15</v>
      </c>
      <c r="E13" s="3256">
        <v>45.15</v>
      </c>
      <c r="F13" s="3257" t="s">
        <v>4532</v>
      </c>
      <c r="G13" s="3257" t="s">
        <v>4533</v>
      </c>
      <c r="H13" s="3258">
        <v>41.76</v>
      </c>
      <c r="I13" s="3259">
        <v>44175</v>
      </c>
      <c r="J13" s="3259">
        <v>45269</v>
      </c>
      <c r="K13" s="3260">
        <v>191596.97333333301</v>
      </c>
      <c r="L13" s="3261" t="s">
        <v>3242</v>
      </c>
      <c r="M13" s="3258"/>
      <c r="N13" s="3262">
        <v>1</v>
      </c>
      <c r="Q13" s="3262">
        <f t="shared" si="0"/>
        <v>12.570000349901131</v>
      </c>
    </row>
    <row r="14" spans="1:17" s="3262" customFormat="1" ht="14" x14ac:dyDescent="0.2">
      <c r="A14" s="3253"/>
      <c r="B14" s="3253"/>
      <c r="C14" s="3254" t="s">
        <v>4534</v>
      </c>
      <c r="D14" s="3263">
        <v>97.481081081081101</v>
      </c>
      <c r="E14" s="3278">
        <v>97.45</v>
      </c>
      <c r="F14" s="3257" t="s">
        <v>4534</v>
      </c>
      <c r="G14" s="3257" t="s">
        <v>4535</v>
      </c>
      <c r="H14" s="3258">
        <v>90.17</v>
      </c>
      <c r="I14" s="3259">
        <v>44119</v>
      </c>
      <c r="J14" s="3259">
        <v>44848</v>
      </c>
      <c r="K14" s="3260">
        <v>307192.84000000003</v>
      </c>
      <c r="L14" s="3261" t="s">
        <v>3242</v>
      </c>
      <c r="M14" s="3258"/>
      <c r="N14" s="3262">
        <v>1</v>
      </c>
      <c r="Q14" s="3262">
        <f t="shared" si="0"/>
        <v>9.3337497968069449</v>
      </c>
    </row>
    <row r="15" spans="1:17" s="3262" customFormat="1" ht="14" x14ac:dyDescent="0.2">
      <c r="A15" s="3253"/>
      <c r="B15" s="3253"/>
      <c r="C15" s="3254" t="s">
        <v>4536</v>
      </c>
      <c r="D15" s="3255">
        <v>70.540540540540505</v>
      </c>
      <c r="E15" s="3436">
        <v>1786.53</v>
      </c>
      <c r="F15" s="3257" t="s">
        <v>4536</v>
      </c>
      <c r="G15" s="3257" t="s">
        <v>4537</v>
      </c>
      <c r="H15" s="3258">
        <v>65.25</v>
      </c>
      <c r="I15" s="3259">
        <v>44183</v>
      </c>
      <c r="J15" s="3259">
        <v>45308</v>
      </c>
      <c r="K15" s="3260">
        <v>247274.01623376599</v>
      </c>
      <c r="L15" s="3261" t="s">
        <v>3242</v>
      </c>
      <c r="M15" s="3258"/>
      <c r="N15" s="3262">
        <v>1</v>
      </c>
      <c r="Q15" s="3262">
        <f t="shared" si="0"/>
        <v>10.382575604209983</v>
      </c>
    </row>
    <row r="16" spans="1:17" s="3262" customFormat="1" ht="14" x14ac:dyDescent="0.2">
      <c r="A16" s="3253"/>
      <c r="B16" s="3253"/>
      <c r="C16" s="3254" t="s">
        <v>4538</v>
      </c>
      <c r="D16" s="3255">
        <v>18.3783783783784</v>
      </c>
      <c r="E16" s="3437"/>
      <c r="F16" s="3257" t="s">
        <v>4538</v>
      </c>
      <c r="G16" s="3257" t="s">
        <v>4539</v>
      </c>
      <c r="H16" s="3258">
        <v>17</v>
      </c>
      <c r="I16" s="3259">
        <v>44256</v>
      </c>
      <c r="J16" s="3259">
        <v>44985</v>
      </c>
      <c r="K16" s="3260">
        <v>112263.98</v>
      </c>
      <c r="L16" s="3261" t="s">
        <v>3242</v>
      </c>
      <c r="M16" s="3258"/>
      <c r="N16" s="3262">
        <v>0</v>
      </c>
      <c r="Q16" s="3262">
        <f t="shared" si="0"/>
        <v>18.092502820306205</v>
      </c>
    </row>
    <row r="17" spans="1:17" s="3262" customFormat="1" ht="28" x14ac:dyDescent="0.2">
      <c r="A17" s="3253"/>
      <c r="B17" s="3253"/>
      <c r="C17" s="3254" t="s">
        <v>4540</v>
      </c>
      <c r="D17" s="3255">
        <v>1227.48</v>
      </c>
      <c r="E17" s="3438"/>
      <c r="F17" s="3257" t="s">
        <v>4540</v>
      </c>
      <c r="G17" s="3257" t="s">
        <v>4522</v>
      </c>
      <c r="H17" s="3258">
        <v>1135.42</v>
      </c>
      <c r="I17" s="3259">
        <v>44494</v>
      </c>
      <c r="J17" s="3259">
        <v>45223</v>
      </c>
      <c r="K17" s="3260">
        <v>2990100.18</v>
      </c>
      <c r="L17" s="3261" t="s">
        <v>3242</v>
      </c>
      <c r="M17" s="3258"/>
      <c r="N17" s="3262">
        <v>0</v>
      </c>
      <c r="Q17" s="3262">
        <f t="shared" si="0"/>
        <v>7.2149999891416687</v>
      </c>
    </row>
    <row r="18" spans="1:17" s="3262" customFormat="1" ht="14" x14ac:dyDescent="0.2">
      <c r="A18" s="3253"/>
      <c r="B18" s="3253"/>
      <c r="C18" s="3254" t="s">
        <v>4541</v>
      </c>
      <c r="D18" s="3258">
        <v>87.03</v>
      </c>
      <c r="E18" s="3279">
        <v>87.03</v>
      </c>
      <c r="F18" s="3257" t="s">
        <v>4541</v>
      </c>
      <c r="G18" s="3257" t="s">
        <v>4542</v>
      </c>
      <c r="H18" s="3258">
        <v>80.5</v>
      </c>
      <c r="I18" s="3259">
        <v>44119</v>
      </c>
      <c r="J18" s="3259">
        <v>45213</v>
      </c>
      <c r="K18" s="3260">
        <v>305871.84000000003</v>
      </c>
      <c r="L18" s="3261" t="s">
        <v>3242</v>
      </c>
      <c r="M18" s="3258"/>
      <c r="N18" s="3262">
        <v>1</v>
      </c>
      <c r="Q18" s="3262">
        <f t="shared" si="0"/>
        <v>10.410000510507956</v>
      </c>
    </row>
    <row r="19" spans="1:17" s="3262" customFormat="1" ht="14" x14ac:dyDescent="0.2">
      <c r="A19" s="3253"/>
      <c r="B19" s="3253"/>
      <c r="C19" s="3254" t="s">
        <v>4543</v>
      </c>
      <c r="D19" s="3255">
        <v>9.4270270270270302</v>
      </c>
      <c r="E19" s="3256"/>
      <c r="F19" s="3257" t="s">
        <v>4543</v>
      </c>
      <c r="G19" s="3257" t="s">
        <v>4544</v>
      </c>
      <c r="H19" s="3258">
        <v>8.7200000000000006</v>
      </c>
      <c r="I19" s="3259">
        <v>44287</v>
      </c>
      <c r="J19" s="3259">
        <v>45016</v>
      </c>
      <c r="K19" s="3260">
        <v>59629.54</v>
      </c>
      <c r="L19" s="3261" t="s">
        <v>3242</v>
      </c>
      <c r="M19" s="3258"/>
      <c r="N19" s="3262">
        <v>0</v>
      </c>
      <c r="Q19" s="3262">
        <f t="shared" si="0"/>
        <v>18.734931506849314</v>
      </c>
    </row>
    <row r="20" spans="1:17" s="3262" customFormat="1" ht="14" x14ac:dyDescent="0.2">
      <c r="A20" s="3253"/>
      <c r="B20" s="3253"/>
      <c r="C20" s="3254" t="s">
        <v>4545</v>
      </c>
      <c r="D20" s="3255">
        <v>91.64</v>
      </c>
      <c r="E20" s="3256">
        <v>123.61</v>
      </c>
      <c r="F20" s="3257" t="s">
        <v>4545</v>
      </c>
      <c r="G20" s="3257" t="s">
        <v>4546</v>
      </c>
      <c r="H20" s="3258">
        <v>84.77</v>
      </c>
      <c r="I20" s="3259">
        <v>44602</v>
      </c>
      <c r="J20" s="3259">
        <v>45697</v>
      </c>
      <c r="K20" s="3260">
        <v>338804.506666667</v>
      </c>
      <c r="L20" s="3261" t="s">
        <v>3242</v>
      </c>
      <c r="M20" s="3258"/>
      <c r="N20" s="3262">
        <v>1</v>
      </c>
      <c r="Q20" s="3262">
        <f t="shared" si="0"/>
        <v>10.950000296262312</v>
      </c>
    </row>
    <row r="21" spans="1:17" s="3262" customFormat="1" ht="14" x14ac:dyDescent="0.2">
      <c r="A21" s="3264"/>
      <c r="B21" s="3253"/>
      <c r="C21" s="3254" t="s">
        <v>4547</v>
      </c>
      <c r="D21" s="3255">
        <v>58.81</v>
      </c>
      <c r="E21" s="3256">
        <v>58.81</v>
      </c>
      <c r="F21" s="3257" t="s">
        <v>4547</v>
      </c>
      <c r="G21" s="3257" t="s">
        <v>4548</v>
      </c>
      <c r="H21" s="3258">
        <v>54.39</v>
      </c>
      <c r="I21" s="3259">
        <v>44635</v>
      </c>
      <c r="J21" s="3259">
        <v>45365</v>
      </c>
      <c r="K21" s="3260">
        <v>256790.16</v>
      </c>
      <c r="L21" s="3261" t="s">
        <v>3242</v>
      </c>
      <c r="M21" s="3258"/>
      <c r="N21" s="3262">
        <v>1</v>
      </c>
      <c r="Q21" s="3262">
        <f t="shared" si="0"/>
        <v>12.935000642241347</v>
      </c>
    </row>
    <row r="22" spans="1:17" s="3288" customFormat="1" ht="28" x14ac:dyDescent="0.2">
      <c r="A22" s="3280"/>
      <c r="B22" s="3280"/>
      <c r="C22" s="3281" t="s">
        <v>4549</v>
      </c>
      <c r="D22" s="3282">
        <v>94.302702702702703</v>
      </c>
      <c r="E22" s="3283" t="s">
        <v>4550</v>
      </c>
      <c r="F22" s="3284" t="s">
        <v>4549</v>
      </c>
      <c r="G22" s="3284" t="s">
        <v>4551</v>
      </c>
      <c r="H22" s="3282">
        <v>87.23</v>
      </c>
      <c r="I22" s="3285">
        <v>44150</v>
      </c>
      <c r="J22" s="3285">
        <v>45274</v>
      </c>
      <c r="K22" s="3286">
        <v>300281.96103896102</v>
      </c>
      <c r="L22" s="3287" t="s">
        <v>3242</v>
      </c>
      <c r="M22" s="3282"/>
      <c r="N22" s="3288">
        <v>2</v>
      </c>
      <c r="Q22" s="3288">
        <f t="shared" si="0"/>
        <v>9.4312771319079616</v>
      </c>
    </row>
    <row r="23" spans="1:17" s="3262" customFormat="1" ht="28" x14ac:dyDescent="0.2">
      <c r="A23" s="3253"/>
      <c r="B23" s="3253"/>
      <c r="C23" s="3254" t="s">
        <v>4552</v>
      </c>
      <c r="D23" s="3263">
        <v>127.24</v>
      </c>
      <c r="E23" s="3278">
        <v>127.25</v>
      </c>
      <c r="F23" s="3264" t="s">
        <v>4552</v>
      </c>
      <c r="G23" s="3264" t="s">
        <v>4553</v>
      </c>
      <c r="H23" s="3258">
        <v>117.7</v>
      </c>
      <c r="I23" s="3259">
        <v>44166</v>
      </c>
      <c r="J23" s="3259">
        <v>44957</v>
      </c>
      <c r="K23" s="3260">
        <v>391989.82488479302</v>
      </c>
      <c r="L23" s="3261" t="s">
        <v>3242</v>
      </c>
      <c r="M23" s="3258"/>
      <c r="N23" s="3262">
        <v>1</v>
      </c>
      <c r="Q23" s="3262">
        <f t="shared" si="0"/>
        <v>9.1244241776700239</v>
      </c>
    </row>
    <row r="24" spans="1:17" s="3262" customFormat="1" ht="28" x14ac:dyDescent="0.2">
      <c r="A24" s="3253"/>
      <c r="B24" s="3253"/>
      <c r="C24" s="3254" t="s">
        <v>4554</v>
      </c>
      <c r="D24" s="3255">
        <v>129.43</v>
      </c>
      <c r="E24" s="3256">
        <v>129.43</v>
      </c>
      <c r="F24" s="3257" t="s">
        <v>4554</v>
      </c>
      <c r="G24" s="3257" t="s">
        <v>4511</v>
      </c>
      <c r="H24" s="3258">
        <v>119.71</v>
      </c>
      <c r="I24" s="3259">
        <v>44540</v>
      </c>
      <c r="J24" s="3259">
        <v>45269</v>
      </c>
      <c r="K24" s="3260">
        <v>423177.84</v>
      </c>
      <c r="L24" s="3261" t="s">
        <v>3242</v>
      </c>
      <c r="M24" s="3258"/>
      <c r="N24" s="3262">
        <v>1</v>
      </c>
      <c r="Q24" s="3262">
        <f t="shared" si="0"/>
        <v>9.6849999370625142</v>
      </c>
    </row>
    <row r="25" spans="1:17" s="3262" customFormat="1" ht="14" x14ac:dyDescent="0.2">
      <c r="A25" s="3253"/>
      <c r="B25" s="3253"/>
      <c r="C25" s="3254" t="s">
        <v>4555</v>
      </c>
      <c r="D25" s="3255">
        <v>47.816216216216198</v>
      </c>
      <c r="E25" s="3256">
        <v>47.82</v>
      </c>
      <c r="F25" s="3257" t="s">
        <v>4555</v>
      </c>
      <c r="G25" s="3257" t="s">
        <v>4556</v>
      </c>
      <c r="H25" s="3258">
        <v>44.23</v>
      </c>
      <c r="I25" s="3259">
        <v>44301</v>
      </c>
      <c r="J25" s="3259">
        <v>45030</v>
      </c>
      <c r="K25" s="3260">
        <v>180960.23</v>
      </c>
      <c r="L25" s="3261" t="s">
        <v>3242</v>
      </c>
      <c r="M25" s="3258"/>
      <c r="N25" s="3262">
        <v>1</v>
      </c>
      <c r="Q25" s="3262">
        <f t="shared" si="0"/>
        <v>11.209166901532774</v>
      </c>
    </row>
    <row r="26" spans="1:17" s="3262" customFormat="1" ht="28" x14ac:dyDescent="0.2">
      <c r="A26" s="3264"/>
      <c r="B26" s="3253"/>
      <c r="C26" s="3254" t="s">
        <v>4557</v>
      </c>
      <c r="D26" s="3255">
        <v>58.24</v>
      </c>
      <c r="E26" s="3256">
        <v>58.24</v>
      </c>
      <c r="F26" s="3257" t="s">
        <v>4557</v>
      </c>
      <c r="G26" s="3257" t="s">
        <v>4558</v>
      </c>
      <c r="H26" s="3258">
        <v>53.87</v>
      </c>
      <c r="I26" s="3259">
        <v>44687</v>
      </c>
      <c r="J26" s="3259">
        <v>45417</v>
      </c>
      <c r="K26" s="3260">
        <v>212290</v>
      </c>
      <c r="L26" s="3261" t="s">
        <v>3242</v>
      </c>
      <c r="M26" s="3258"/>
      <c r="N26" s="3262">
        <v>1</v>
      </c>
      <c r="Q26" s="3262">
        <f t="shared" si="0"/>
        <v>10.796666759906524</v>
      </c>
    </row>
    <row r="27" spans="1:17" s="3262" customFormat="1" ht="14" x14ac:dyDescent="0.2">
      <c r="A27" s="3253"/>
      <c r="B27" s="3253"/>
      <c r="C27" s="3254" t="s">
        <v>4559</v>
      </c>
      <c r="D27" s="3258">
        <v>79.989189189189204</v>
      </c>
      <c r="E27" s="3279">
        <v>80</v>
      </c>
      <c r="F27" s="3257" t="s">
        <v>4559</v>
      </c>
      <c r="G27" s="3257" t="s">
        <v>4560</v>
      </c>
      <c r="H27" s="3258">
        <v>73.989999999999995</v>
      </c>
      <c r="I27" s="3259">
        <v>44090</v>
      </c>
      <c r="J27" s="3259">
        <v>45184</v>
      </c>
      <c r="K27" s="3260">
        <v>274902.14</v>
      </c>
      <c r="L27" s="3261" t="s">
        <v>3242</v>
      </c>
      <c r="M27" s="3258"/>
      <c r="N27" s="3262">
        <v>1</v>
      </c>
      <c r="Q27" s="3262">
        <f t="shared" si="0"/>
        <v>10.179166751523255</v>
      </c>
    </row>
    <row r="28" spans="1:17" s="3262" customFormat="1" ht="14" x14ac:dyDescent="0.2">
      <c r="A28" s="3253"/>
      <c r="B28" s="3253"/>
      <c r="C28" s="3254" t="s">
        <v>4561</v>
      </c>
      <c r="D28" s="3263">
        <v>105.556756756757</v>
      </c>
      <c r="E28" s="3278">
        <v>105.57</v>
      </c>
      <c r="F28" s="3257" t="s">
        <v>4561</v>
      </c>
      <c r="G28" s="3257" t="s">
        <v>4562</v>
      </c>
      <c r="H28" s="3258">
        <v>97.64</v>
      </c>
      <c r="I28" s="3259">
        <v>44119</v>
      </c>
      <c r="J28" s="3259">
        <v>44848</v>
      </c>
      <c r="K28" s="3260">
        <v>339309.18</v>
      </c>
      <c r="L28" s="3261" t="s">
        <v>3242</v>
      </c>
      <c r="M28" s="3258"/>
      <c r="N28" s="3262">
        <v>1</v>
      </c>
      <c r="Q28" s="3262">
        <f t="shared" si="0"/>
        <v>9.5208335905450827</v>
      </c>
    </row>
    <row r="29" spans="1:17" s="3262" customFormat="1" ht="28" x14ac:dyDescent="0.2">
      <c r="A29" s="3253"/>
      <c r="B29" s="3253"/>
      <c r="C29" s="3254" t="s">
        <v>4563</v>
      </c>
      <c r="D29" s="3258">
        <v>36.778378378378399</v>
      </c>
      <c r="E29" s="3279">
        <v>36.78</v>
      </c>
      <c r="F29" s="3257" t="s">
        <v>4563</v>
      </c>
      <c r="G29" s="3257" t="s">
        <v>4564</v>
      </c>
      <c r="H29" s="3258">
        <v>34.020000000000003</v>
      </c>
      <c r="I29" s="3259">
        <v>44150</v>
      </c>
      <c r="J29" s="3259">
        <v>44879</v>
      </c>
      <c r="K29" s="3260">
        <v>141356.745</v>
      </c>
      <c r="L29" s="3261" t="s">
        <v>3242</v>
      </c>
      <c r="M29" s="3258"/>
      <c r="N29" s="3262">
        <v>1</v>
      </c>
      <c r="Q29" s="3262">
        <f t="shared" si="0"/>
        <v>11.383855185909979</v>
      </c>
    </row>
    <row r="30" spans="1:17" s="3262" customFormat="1" ht="14" x14ac:dyDescent="0.2">
      <c r="A30" s="3253"/>
      <c r="B30" s="3253"/>
      <c r="C30" s="3254" t="s">
        <v>4565</v>
      </c>
      <c r="D30" s="3263">
        <v>25.254054054054102</v>
      </c>
      <c r="E30" s="3278">
        <v>25.34</v>
      </c>
      <c r="F30" s="3257" t="s">
        <v>4565</v>
      </c>
      <c r="G30" s="3257" t="s">
        <v>4566</v>
      </c>
      <c r="H30" s="3258">
        <v>23.36</v>
      </c>
      <c r="I30" s="3259">
        <v>44114</v>
      </c>
      <c r="J30" s="3259">
        <v>44843</v>
      </c>
      <c r="K30" s="3260">
        <v>101865.96</v>
      </c>
      <c r="L30" s="3261" t="s">
        <v>3242</v>
      </c>
      <c r="M30" s="3258"/>
      <c r="N30" s="3262">
        <v>1</v>
      </c>
      <c r="Q30" s="3262">
        <f t="shared" si="0"/>
        <v>11.947124225933573</v>
      </c>
    </row>
    <row r="31" spans="1:17" s="3262" customFormat="1" ht="14" x14ac:dyDescent="0.2">
      <c r="A31" s="3253"/>
      <c r="B31" s="3253"/>
      <c r="C31" s="3254" t="s">
        <v>4567</v>
      </c>
      <c r="D31" s="3255">
        <v>78.443243243243202</v>
      </c>
      <c r="E31" s="3256">
        <v>78.45</v>
      </c>
      <c r="F31" s="3257" t="s">
        <v>4567</v>
      </c>
      <c r="G31" s="3257" t="s">
        <v>4568</v>
      </c>
      <c r="H31" s="3258">
        <v>72.56</v>
      </c>
      <c r="I31" s="3259">
        <v>44477</v>
      </c>
      <c r="J31" s="3259">
        <v>45206</v>
      </c>
      <c r="K31" s="3260">
        <v>284574.88</v>
      </c>
      <c r="L31" s="3261" t="s">
        <v>3242</v>
      </c>
      <c r="M31" s="3258"/>
      <c r="N31" s="3262">
        <v>1</v>
      </c>
      <c r="Q31" s="3262">
        <f t="shared" si="0"/>
        <v>10.745000075516153</v>
      </c>
    </row>
    <row r="32" spans="1:17" s="3262" customFormat="1" ht="14" x14ac:dyDescent="0.2">
      <c r="A32" s="3253"/>
      <c r="B32" s="3253"/>
      <c r="C32" s="3254" t="s">
        <v>4569</v>
      </c>
      <c r="D32" s="3258">
        <v>93.632432432432395</v>
      </c>
      <c r="E32" s="3279">
        <v>125.54</v>
      </c>
      <c r="F32" s="3257" t="s">
        <v>4569</v>
      </c>
      <c r="G32" s="3257" t="s">
        <v>4570</v>
      </c>
      <c r="H32" s="3258">
        <v>86.61</v>
      </c>
      <c r="I32" s="3259">
        <v>44013</v>
      </c>
      <c r="J32" s="3259">
        <v>44742</v>
      </c>
      <c r="K32" s="3260">
        <v>311068.48</v>
      </c>
      <c r="L32" s="3261" t="s">
        <v>3242</v>
      </c>
      <c r="M32" s="3258"/>
      <c r="N32" s="3262">
        <v>1</v>
      </c>
      <c r="Q32" s="3262">
        <f t="shared" si="0"/>
        <v>9.8400001265316241</v>
      </c>
    </row>
    <row r="33" spans="1:17" s="3262" customFormat="1" ht="28" x14ac:dyDescent="0.2">
      <c r="A33" s="3253"/>
      <c r="B33" s="3253"/>
      <c r="C33" s="3254" t="s">
        <v>4571</v>
      </c>
      <c r="D33" s="3263">
        <v>72.918918918918905</v>
      </c>
      <c r="E33" s="3256" t="s">
        <v>4572</v>
      </c>
      <c r="F33" s="3264" t="s">
        <v>4571</v>
      </c>
      <c r="G33" s="3264" t="s">
        <v>4573</v>
      </c>
      <c r="H33" s="3258">
        <v>67.45</v>
      </c>
      <c r="I33" s="3259">
        <v>44067</v>
      </c>
      <c r="J33" s="3259">
        <v>44871</v>
      </c>
      <c r="K33" s="3260">
        <v>223581.99635987601</v>
      </c>
      <c r="L33" s="3261" t="s">
        <v>3242</v>
      </c>
      <c r="M33" s="3258"/>
      <c r="N33" s="3262">
        <v>2</v>
      </c>
      <c r="Q33" s="3262">
        <f t="shared" si="0"/>
        <v>9.081592508296394</v>
      </c>
    </row>
    <row r="34" spans="1:17" s="3262" customFormat="1" ht="28" x14ac:dyDescent="0.2">
      <c r="A34" s="3253"/>
      <c r="B34" s="3253"/>
      <c r="C34" s="3254" t="s">
        <v>4574</v>
      </c>
      <c r="D34" s="3255">
        <v>97.437837837837804</v>
      </c>
      <c r="E34" s="3256">
        <v>97.45</v>
      </c>
      <c r="F34" s="3257" t="s">
        <v>4574</v>
      </c>
      <c r="G34" s="3257" t="s">
        <v>4575</v>
      </c>
      <c r="H34" s="3258">
        <v>90.13</v>
      </c>
      <c r="I34" s="3259">
        <v>44270</v>
      </c>
      <c r="J34" s="3259">
        <v>44999</v>
      </c>
      <c r="K34" s="3260">
        <v>313127.96500000003</v>
      </c>
      <c r="L34" s="3261" t="s">
        <v>3242</v>
      </c>
      <c r="M34" s="3258"/>
      <c r="N34" s="3262">
        <v>1</v>
      </c>
      <c r="Q34" s="3262">
        <f t="shared" si="0"/>
        <v>9.5183050661981419</v>
      </c>
    </row>
    <row r="35" spans="1:17" s="3262" customFormat="1" ht="14" x14ac:dyDescent="0.2">
      <c r="A35" s="3264"/>
      <c r="B35" s="3253"/>
      <c r="C35" s="3254" t="s">
        <v>4576</v>
      </c>
      <c r="D35" s="3255">
        <v>75.070270270270299</v>
      </c>
      <c r="E35" s="3256">
        <v>96.98</v>
      </c>
      <c r="F35" s="3257" t="s">
        <v>4576</v>
      </c>
      <c r="G35" s="3257" t="s">
        <v>4577</v>
      </c>
      <c r="H35" s="3258">
        <v>69.44</v>
      </c>
      <c r="I35" s="3259">
        <v>44636</v>
      </c>
      <c r="J35" s="3259">
        <v>45366</v>
      </c>
      <c r="K35" s="3260">
        <v>254923.935</v>
      </c>
      <c r="L35" s="3261" t="s">
        <v>3242</v>
      </c>
      <c r="M35" s="3258"/>
      <c r="N35" s="3262">
        <v>1</v>
      </c>
      <c r="Q35" s="3262">
        <f t="shared" si="0"/>
        <v>10.057916758727353</v>
      </c>
    </row>
    <row r="36" spans="1:17" s="3262" customFormat="1" ht="14" x14ac:dyDescent="0.2">
      <c r="A36" s="3253"/>
      <c r="B36" s="3253"/>
      <c r="C36" s="3254" t="s">
        <v>4578</v>
      </c>
      <c r="D36" s="3263">
        <v>132.95135135135101</v>
      </c>
      <c r="E36" s="3278">
        <v>132.96</v>
      </c>
      <c r="F36" s="3257" t="s">
        <v>4578</v>
      </c>
      <c r="G36" s="3257" t="s">
        <v>4579</v>
      </c>
      <c r="H36" s="3258">
        <v>122.98</v>
      </c>
      <c r="I36" s="3259">
        <v>44126</v>
      </c>
      <c r="J36" s="3259">
        <v>44886</v>
      </c>
      <c r="K36" s="3260">
        <v>394304.99519230798</v>
      </c>
      <c r="L36" s="3261" t="s">
        <v>3242</v>
      </c>
      <c r="M36" s="3258"/>
      <c r="N36" s="3262">
        <v>1</v>
      </c>
      <c r="Q36" s="3262">
        <f t="shared" si="0"/>
        <v>8.7842548224192356</v>
      </c>
    </row>
    <row r="37" spans="1:17" s="3262" customFormat="1" ht="14" x14ac:dyDescent="0.2">
      <c r="A37" s="3253"/>
      <c r="B37" s="3253"/>
      <c r="C37" s="3254" t="s">
        <v>4580</v>
      </c>
      <c r="D37" s="3255">
        <v>108.972972972973</v>
      </c>
      <c r="E37" s="3256">
        <v>134.84</v>
      </c>
      <c r="F37" s="3257" t="s">
        <v>4580</v>
      </c>
      <c r="G37" s="3257" t="s">
        <v>4581</v>
      </c>
      <c r="H37" s="3258">
        <v>100.8</v>
      </c>
      <c r="I37" s="3259">
        <v>44298</v>
      </c>
      <c r="J37" s="3259">
        <v>45027</v>
      </c>
      <c r="K37" s="3260">
        <v>343407.33</v>
      </c>
      <c r="L37" s="3261" t="s">
        <v>3242</v>
      </c>
      <c r="M37" s="3258"/>
      <c r="N37" s="3262">
        <v>1</v>
      </c>
      <c r="O37" s="3289">
        <f>SUM(N4:N37)</f>
        <v>36</v>
      </c>
      <c r="P37" s="3262" t="s">
        <v>4582</v>
      </c>
      <c r="Q37" s="3262">
        <f t="shared" si="0"/>
        <v>9.3337500000000002</v>
      </c>
    </row>
    <row r="38" spans="1:17" s="3274" customFormat="1" ht="28" x14ac:dyDescent="0.2">
      <c r="A38" s="3267"/>
      <c r="B38" s="3265"/>
      <c r="C38" s="3290" t="s">
        <v>3639</v>
      </c>
      <c r="D38" s="3268">
        <v>53.08</v>
      </c>
      <c r="E38" s="3291">
        <v>3840.45</v>
      </c>
      <c r="F38" s="3292" t="s">
        <v>4583</v>
      </c>
      <c r="G38" s="3270" t="s">
        <v>4584</v>
      </c>
      <c r="H38" s="3268">
        <v>40.340000000000003</v>
      </c>
      <c r="I38" s="3271">
        <v>44380</v>
      </c>
      <c r="J38" s="3271">
        <v>44744</v>
      </c>
      <c r="K38" s="3272">
        <v>62871.92</v>
      </c>
      <c r="L38" s="3273" t="s">
        <v>3242</v>
      </c>
      <c r="M38" s="3268"/>
      <c r="Q38" s="3274">
        <f t="shared" si="0"/>
        <v>4.2700008829062552</v>
      </c>
    </row>
    <row r="39" spans="1:17" s="3274" customFormat="1" ht="12.75" customHeight="1" x14ac:dyDescent="0.2">
      <c r="A39" s="3267"/>
      <c r="B39" s="3265"/>
      <c r="C39" s="3265"/>
      <c r="D39" s="3275">
        <v>21.84</v>
      </c>
      <c r="E39" s="3276"/>
      <c r="F39" s="3292" t="s">
        <v>4585</v>
      </c>
      <c r="G39" s="3270" t="s">
        <v>4586</v>
      </c>
      <c r="H39" s="3275">
        <v>16.600000000000001</v>
      </c>
      <c r="I39" s="3271">
        <v>44621</v>
      </c>
      <c r="J39" s="3271">
        <v>45716</v>
      </c>
      <c r="K39" s="3272">
        <v>20317.84</v>
      </c>
      <c r="L39" s="3273" t="s">
        <v>3242</v>
      </c>
      <c r="M39" s="3268"/>
      <c r="Q39" s="3274">
        <f t="shared" si="0"/>
        <v>3.3533322330417557</v>
      </c>
    </row>
    <row r="40" spans="1:17" s="3274" customFormat="1" ht="14" x14ac:dyDescent="0.2">
      <c r="A40" s="3267"/>
      <c r="B40" s="3265"/>
      <c r="C40" s="3265"/>
      <c r="D40" s="3275">
        <v>200.57894736842101</v>
      </c>
      <c r="E40" s="3276"/>
      <c r="F40" s="3292" t="s">
        <v>4587</v>
      </c>
      <c r="G40" s="3270" t="s">
        <v>4588</v>
      </c>
      <c r="H40" s="3275">
        <v>152.44</v>
      </c>
      <c r="I40" s="3271">
        <v>44265</v>
      </c>
      <c r="J40" s="3271">
        <v>46121</v>
      </c>
      <c r="K40" s="3272">
        <v>227472.93307086601</v>
      </c>
      <c r="L40" s="3273" t="s">
        <v>3242</v>
      </c>
      <c r="M40" s="3268"/>
      <c r="Q40" s="3274">
        <f t="shared" si="0"/>
        <v>4.0882544952941924</v>
      </c>
    </row>
    <row r="41" spans="1:17" s="3274" customFormat="1" ht="14" x14ac:dyDescent="0.2">
      <c r="A41" s="3267"/>
      <c r="B41" s="3265"/>
      <c r="C41" s="3265"/>
      <c r="D41" s="3275">
        <v>251.51315789473699</v>
      </c>
      <c r="E41" s="3276"/>
      <c r="F41" s="3292" t="s">
        <v>4589</v>
      </c>
      <c r="G41" s="3270" t="s">
        <v>4588</v>
      </c>
      <c r="H41" s="3275">
        <v>191.15</v>
      </c>
      <c r="I41" s="3271">
        <v>44265</v>
      </c>
      <c r="J41" s="3271">
        <v>46121</v>
      </c>
      <c r="K41" s="3272">
        <v>285236.49803149601</v>
      </c>
      <c r="L41" s="3273" t="s">
        <v>3242</v>
      </c>
      <c r="M41" s="3268"/>
      <c r="Q41" s="3274">
        <f t="shared" si="0"/>
        <v>4.0882545520300138</v>
      </c>
    </row>
    <row r="42" spans="1:17" s="3274" customFormat="1" ht="28" x14ac:dyDescent="0.2">
      <c r="A42" s="3267"/>
      <c r="B42" s="3265"/>
      <c r="C42" s="3265"/>
      <c r="D42" s="3268">
        <v>96.07</v>
      </c>
      <c r="E42" s="3291"/>
      <c r="F42" s="3292" t="s">
        <v>4590</v>
      </c>
      <c r="G42" s="3270" t="s">
        <v>4591</v>
      </c>
      <c r="H42" s="3268">
        <v>73.010000000000005</v>
      </c>
      <c r="I42" s="3271">
        <v>44604</v>
      </c>
      <c r="J42" s="3271">
        <v>44968</v>
      </c>
      <c r="K42" s="3272">
        <v>113789.72</v>
      </c>
      <c r="L42" s="3273" t="s">
        <v>3242</v>
      </c>
      <c r="M42" s="3268"/>
      <c r="Q42" s="3274">
        <f t="shared" si="0"/>
        <v>4.2699994183570276</v>
      </c>
    </row>
    <row r="43" spans="1:17" s="3274" customFormat="1" ht="14" x14ac:dyDescent="0.2">
      <c r="A43" s="3267"/>
      <c r="B43" s="3265"/>
      <c r="C43" s="3265"/>
      <c r="D43" s="3293">
        <v>256.27631578947398</v>
      </c>
      <c r="E43" s="3294"/>
      <c r="F43" s="3292" t="s">
        <v>4592</v>
      </c>
      <c r="G43" s="3295" t="s">
        <v>4593</v>
      </c>
      <c r="H43" s="3293">
        <v>194.77</v>
      </c>
      <c r="I43" s="3271">
        <v>44173</v>
      </c>
      <c r="J43" s="3271">
        <v>46029</v>
      </c>
      <c r="K43" s="3272">
        <v>290638.31496063003</v>
      </c>
      <c r="L43" s="3273" t="s">
        <v>3242</v>
      </c>
      <c r="M43" s="3268"/>
      <c r="Q43" s="3274">
        <f t="shared" si="0"/>
        <v>4.0882546390949361</v>
      </c>
    </row>
    <row r="44" spans="1:17" s="3274" customFormat="1" ht="14" x14ac:dyDescent="0.2">
      <c r="A44" s="3267"/>
      <c r="B44" s="3265"/>
      <c r="C44" s="3265"/>
      <c r="D44" s="3293">
        <v>204.394736842105</v>
      </c>
      <c r="E44" s="3294"/>
      <c r="F44" s="3292" t="s">
        <v>4594</v>
      </c>
      <c r="G44" s="3295" t="s">
        <v>4593</v>
      </c>
      <c r="H44" s="3293">
        <v>155.34</v>
      </c>
      <c r="I44" s="3271">
        <v>44173</v>
      </c>
      <c r="J44" s="3271">
        <v>46029</v>
      </c>
      <c r="K44" s="3272">
        <v>231800.36023622</v>
      </c>
      <c r="L44" s="3273" t="s">
        <v>3242</v>
      </c>
      <c r="M44" s="3268"/>
      <c r="Q44" s="3274">
        <f t="shared" si="0"/>
        <v>4.0882546678204772</v>
      </c>
    </row>
    <row r="45" spans="1:17" s="3274" customFormat="1" ht="14" x14ac:dyDescent="0.2">
      <c r="A45" s="3267"/>
      <c r="B45" s="3265"/>
      <c r="C45" s="3265"/>
      <c r="D45" s="3268">
        <v>41.052631578947398</v>
      </c>
      <c r="E45" s="3291"/>
      <c r="F45" s="3292" t="s">
        <v>4595</v>
      </c>
      <c r="G45" s="3270" t="s">
        <v>4596</v>
      </c>
      <c r="H45" s="3268">
        <v>31.2</v>
      </c>
      <c r="I45" s="3271">
        <v>44347</v>
      </c>
      <c r="J45" s="3271">
        <v>45442</v>
      </c>
      <c r="K45" s="3272">
        <v>49360.653333333299</v>
      </c>
      <c r="L45" s="3273" t="s">
        <v>3242</v>
      </c>
      <c r="M45" s="3268"/>
      <c r="Q45" s="3274">
        <f t="shared" si="0"/>
        <v>4.3344444444444417</v>
      </c>
    </row>
    <row r="46" spans="1:17" s="3274" customFormat="1" ht="28" x14ac:dyDescent="0.2">
      <c r="A46" s="3267"/>
      <c r="B46" s="3265"/>
      <c r="C46" s="3265"/>
      <c r="D46" s="3275">
        <v>115.04</v>
      </c>
      <c r="E46" s="3276"/>
      <c r="F46" s="3292" t="s">
        <v>4597</v>
      </c>
      <c r="G46" s="3270" t="s">
        <v>4598</v>
      </c>
      <c r="H46" s="3275">
        <v>87.43</v>
      </c>
      <c r="I46" s="3271">
        <v>44455</v>
      </c>
      <c r="J46" s="3271">
        <v>45184</v>
      </c>
      <c r="K46" s="3272">
        <v>142327.29999999999</v>
      </c>
      <c r="L46" s="3273" t="s">
        <v>3242</v>
      </c>
      <c r="M46" s="3268"/>
      <c r="Q46" s="3274">
        <f t="shared" si="0"/>
        <v>4.4600000940086701</v>
      </c>
    </row>
    <row r="47" spans="1:17" s="3274" customFormat="1" ht="14" x14ac:dyDescent="0.2">
      <c r="A47" s="3267"/>
      <c r="B47" s="3265"/>
      <c r="C47" s="3265"/>
      <c r="D47" s="3268">
        <v>143</v>
      </c>
      <c r="E47" s="3291"/>
      <c r="F47" s="3292" t="s">
        <v>4599</v>
      </c>
      <c r="G47" s="3270" t="s">
        <v>4600</v>
      </c>
      <c r="H47" s="3268">
        <v>109</v>
      </c>
      <c r="I47" s="3271">
        <v>44593</v>
      </c>
      <c r="J47" s="3271">
        <v>44957</v>
      </c>
      <c r="K47" s="3272">
        <v>171075.52</v>
      </c>
      <c r="L47" s="3273" t="s">
        <v>3242</v>
      </c>
      <c r="M47" s="3268"/>
      <c r="Q47" s="3274">
        <f t="shared" si="0"/>
        <v>4.3000005027020229</v>
      </c>
    </row>
    <row r="48" spans="1:17" s="3274" customFormat="1" ht="28" x14ac:dyDescent="0.2">
      <c r="A48" s="3267"/>
      <c r="B48" s="3265"/>
      <c r="C48" s="3265"/>
      <c r="D48" s="3275">
        <v>129.63</v>
      </c>
      <c r="E48" s="3276"/>
      <c r="F48" s="3292" t="s">
        <v>4601</v>
      </c>
      <c r="G48" s="3270" t="s">
        <v>4602</v>
      </c>
      <c r="H48" s="3275">
        <v>98.52</v>
      </c>
      <c r="I48" s="3271">
        <v>44564</v>
      </c>
      <c r="J48" s="3271">
        <v>44928</v>
      </c>
      <c r="K48" s="3272">
        <v>154627.16</v>
      </c>
      <c r="L48" s="3273" t="s">
        <v>3242</v>
      </c>
      <c r="M48" s="3268"/>
      <c r="Q48" s="3274">
        <f t="shared" si="0"/>
        <v>4.3000005561766192</v>
      </c>
    </row>
    <row r="49" spans="1:17" s="3274" customFormat="1" ht="28" x14ac:dyDescent="0.2">
      <c r="A49" s="3267"/>
      <c r="B49" s="3265"/>
      <c r="C49" s="3265"/>
      <c r="D49" s="3275">
        <v>135.36842105263199</v>
      </c>
      <c r="E49" s="3276"/>
      <c r="F49" s="3292" t="s">
        <v>4603</v>
      </c>
      <c r="G49" s="3270" t="s">
        <v>4604</v>
      </c>
      <c r="H49" s="3275">
        <v>102.88</v>
      </c>
      <c r="I49" s="3271">
        <v>44331</v>
      </c>
      <c r="J49" s="3271">
        <v>45426</v>
      </c>
      <c r="K49" s="3272">
        <v>166424.83333333299</v>
      </c>
      <c r="L49" s="3273" t="s">
        <v>3242</v>
      </c>
      <c r="M49" s="3268"/>
      <c r="Q49" s="3274">
        <f t="shared" si="0"/>
        <v>4.4319444740336662</v>
      </c>
    </row>
    <row r="50" spans="1:17" s="3274" customFormat="1" ht="14" x14ac:dyDescent="0.2">
      <c r="A50" s="3267"/>
      <c r="B50" s="3265"/>
      <c r="C50" s="3265"/>
      <c r="D50" s="3275">
        <v>82.934210526315795</v>
      </c>
      <c r="E50" s="3276"/>
      <c r="F50" s="3292" t="s">
        <v>4605</v>
      </c>
      <c r="G50" s="3270" t="s">
        <v>4606</v>
      </c>
      <c r="H50" s="3275">
        <v>63.03</v>
      </c>
      <c r="I50" s="3271">
        <v>44294</v>
      </c>
      <c r="J50" s="3271">
        <v>45023</v>
      </c>
      <c r="K50" s="3272">
        <v>94554.46</v>
      </c>
      <c r="L50" s="3273" t="s">
        <v>3242</v>
      </c>
      <c r="M50" s="3268"/>
      <c r="Q50" s="3274">
        <f t="shared" si="0"/>
        <v>4.1100002390685892</v>
      </c>
    </row>
    <row r="51" spans="1:17" s="3274" customFormat="1" ht="28" x14ac:dyDescent="0.2">
      <c r="A51" s="3267"/>
      <c r="B51" s="3265"/>
      <c r="C51" s="3265"/>
      <c r="D51" s="3275">
        <v>54.75</v>
      </c>
      <c r="E51" s="3276"/>
      <c r="F51" s="3292" t="s">
        <v>4607</v>
      </c>
      <c r="G51" s="3270" t="s">
        <v>4608</v>
      </c>
      <c r="H51" s="3275">
        <v>41.61</v>
      </c>
      <c r="I51" s="3271">
        <v>44256</v>
      </c>
      <c r="J51" s="3271">
        <v>44985</v>
      </c>
      <c r="K51" s="3272">
        <v>44879.519999999997</v>
      </c>
      <c r="L51" s="3273" t="s">
        <v>3242</v>
      </c>
      <c r="M51" s="3268"/>
      <c r="Q51" s="3274">
        <f t="shared" si="0"/>
        <v>2.9550009382623381</v>
      </c>
    </row>
    <row r="52" spans="1:17" s="3274" customFormat="1" ht="14" x14ac:dyDescent="0.2">
      <c r="A52" s="3267"/>
      <c r="B52" s="3265"/>
      <c r="C52" s="3265"/>
      <c r="D52" s="3275">
        <v>137.76315789473699</v>
      </c>
      <c r="E52" s="3276"/>
      <c r="F52" s="3292" t="s">
        <v>4609</v>
      </c>
      <c r="G52" s="3270" t="s">
        <v>4610</v>
      </c>
      <c r="H52" s="3275">
        <v>104.7</v>
      </c>
      <c r="I52" s="3271">
        <v>44306</v>
      </c>
      <c r="J52" s="3271">
        <v>45401</v>
      </c>
      <c r="K52" s="3272">
        <v>165642.96</v>
      </c>
      <c r="L52" s="3273" t="s">
        <v>3242</v>
      </c>
      <c r="M52" s="3268"/>
      <c r="Q52" s="3274">
        <f t="shared" si="0"/>
        <v>4.3344444008321226</v>
      </c>
    </row>
    <row r="53" spans="1:17" s="3274" customFormat="1" ht="14" x14ac:dyDescent="0.2">
      <c r="A53" s="3267"/>
      <c r="B53" s="3265"/>
      <c r="C53" s="3265"/>
      <c r="D53" s="3275">
        <v>30.76</v>
      </c>
      <c r="E53" s="3276"/>
      <c r="F53" s="3292" t="s">
        <v>4611</v>
      </c>
      <c r="G53" s="3270" t="s">
        <v>4612</v>
      </c>
      <c r="H53" s="3275">
        <v>23.38</v>
      </c>
      <c r="I53" s="3271">
        <v>44336</v>
      </c>
      <c r="J53" s="3271">
        <v>44700</v>
      </c>
      <c r="K53" s="3272">
        <v>40193.72</v>
      </c>
      <c r="L53" s="3273" t="s">
        <v>3242</v>
      </c>
      <c r="M53" s="3268"/>
      <c r="Q53" s="3274">
        <f t="shared" si="0"/>
        <v>4.7099991797227467</v>
      </c>
    </row>
    <row r="54" spans="1:17" s="3274" customFormat="1" ht="28" x14ac:dyDescent="0.2">
      <c r="A54" s="3267"/>
      <c r="B54" s="3265"/>
      <c r="C54" s="3265"/>
      <c r="D54" s="3268">
        <v>25.828947368421101</v>
      </c>
      <c r="E54" s="3291"/>
      <c r="F54" s="3292" t="s">
        <v>4613</v>
      </c>
      <c r="G54" s="3270" t="s">
        <v>4614</v>
      </c>
      <c r="H54" s="3268">
        <v>19.63</v>
      </c>
      <c r="I54" s="3271">
        <v>43973</v>
      </c>
      <c r="J54" s="3271">
        <v>44702</v>
      </c>
      <c r="K54" s="3272">
        <v>29233</v>
      </c>
      <c r="L54" s="3273" t="s">
        <v>3242</v>
      </c>
      <c r="M54" s="3268"/>
      <c r="Q54" s="3274">
        <f t="shared" si="0"/>
        <v>4.0800005582732606</v>
      </c>
    </row>
    <row r="55" spans="1:17" s="3274" customFormat="1" ht="14" x14ac:dyDescent="0.2">
      <c r="A55" s="3267"/>
      <c r="B55" s="3265"/>
      <c r="C55" s="3265"/>
      <c r="D55" s="3268">
        <v>289.85526315789502</v>
      </c>
      <c r="E55" s="3291"/>
      <c r="F55" s="3292" t="s">
        <v>4615</v>
      </c>
      <c r="G55" s="3270" t="s">
        <v>4616</v>
      </c>
      <c r="H55" s="3268">
        <v>220.29</v>
      </c>
      <c r="I55" s="3271">
        <v>44337</v>
      </c>
      <c r="J55" s="3271">
        <v>45432</v>
      </c>
      <c r="K55" s="3272">
        <v>328290.38666666701</v>
      </c>
      <c r="L55" s="3273" t="s">
        <v>3242</v>
      </c>
      <c r="M55" s="3268"/>
      <c r="Q55" s="3274">
        <f t="shared" si="0"/>
        <v>4.0829166866175415</v>
      </c>
    </row>
    <row r="56" spans="1:17" s="3274" customFormat="1" ht="14" x14ac:dyDescent="0.2">
      <c r="A56" s="3267"/>
      <c r="B56" s="3265"/>
      <c r="C56" s="3265"/>
      <c r="D56" s="3275">
        <v>224.57894736842101</v>
      </c>
      <c r="E56" s="3276"/>
      <c r="F56" s="3292" t="s">
        <v>4617</v>
      </c>
      <c r="G56" s="3270" t="s">
        <v>4618</v>
      </c>
      <c r="H56" s="3275">
        <v>170.68</v>
      </c>
      <c r="I56" s="3271">
        <v>44302</v>
      </c>
      <c r="J56" s="3271">
        <v>45031</v>
      </c>
      <c r="K56" s="3272">
        <v>255266.875</v>
      </c>
      <c r="L56" s="3273" t="s">
        <v>3242</v>
      </c>
      <c r="M56" s="3268"/>
      <c r="Q56" s="3274">
        <f t="shared" si="0"/>
        <v>4.0975000080259143</v>
      </c>
    </row>
    <row r="57" spans="1:17" s="3274" customFormat="1" ht="28" x14ac:dyDescent="0.2">
      <c r="A57" s="3267"/>
      <c r="B57" s="3265"/>
      <c r="C57" s="3265"/>
      <c r="D57" s="3275">
        <v>393.42105263157902</v>
      </c>
      <c r="E57" s="3276"/>
      <c r="F57" s="3292" t="s">
        <v>4619</v>
      </c>
      <c r="G57" s="3270" t="s">
        <v>4620</v>
      </c>
      <c r="H57" s="3275">
        <v>299</v>
      </c>
      <c r="I57" s="3271">
        <v>44175</v>
      </c>
      <c r="J57" s="3271">
        <v>46000</v>
      </c>
      <c r="K57" s="3272">
        <v>516390.446</v>
      </c>
      <c r="L57" s="3273" t="s">
        <v>3242</v>
      </c>
      <c r="M57" s="3268"/>
      <c r="Q57" s="3274">
        <f t="shared" si="0"/>
        <v>4.7316667063728408</v>
      </c>
    </row>
    <row r="58" spans="1:17" s="3274" customFormat="1" ht="28" x14ac:dyDescent="0.2">
      <c r="A58" s="3267"/>
      <c r="B58" s="3265"/>
      <c r="C58" s="3265"/>
      <c r="D58" s="3275">
        <v>80.697368421052602</v>
      </c>
      <c r="E58" s="3276"/>
      <c r="F58" s="3292" t="s">
        <v>4621</v>
      </c>
      <c r="G58" s="3270" t="s">
        <v>4602</v>
      </c>
      <c r="H58" s="3275">
        <v>61.33</v>
      </c>
      <c r="I58" s="3271">
        <v>43613</v>
      </c>
      <c r="J58" s="3271">
        <v>44708</v>
      </c>
      <c r="K58" s="3272">
        <v>107300.933333333</v>
      </c>
      <c r="L58" s="3273" t="s">
        <v>3242</v>
      </c>
      <c r="M58" s="3268"/>
      <c r="Q58" s="3274">
        <f t="shared" si="0"/>
        <v>4.7933337651614334</v>
      </c>
    </row>
    <row r="59" spans="1:17" s="3274" customFormat="1" ht="28" x14ac:dyDescent="0.2">
      <c r="A59" s="3267"/>
      <c r="B59" s="3265"/>
      <c r="C59" s="3265"/>
      <c r="D59" s="3275">
        <v>232.93421052631601</v>
      </c>
      <c r="E59" s="3276"/>
      <c r="F59" s="3292" t="s">
        <v>4622</v>
      </c>
      <c r="G59" s="3270" t="s">
        <v>4623</v>
      </c>
      <c r="H59" s="3275">
        <v>177.03</v>
      </c>
      <c r="I59" s="3271">
        <v>44275</v>
      </c>
      <c r="J59" s="3271">
        <v>45385</v>
      </c>
      <c r="K59" s="3272">
        <v>256727.95394736799</v>
      </c>
      <c r="L59" s="3273" t="s">
        <v>3242</v>
      </c>
      <c r="M59" s="3268"/>
      <c r="Q59" s="3274">
        <f t="shared" si="0"/>
        <v>3.9731359509125532</v>
      </c>
    </row>
    <row r="60" spans="1:17" s="3274" customFormat="1" ht="14" x14ac:dyDescent="0.2">
      <c r="A60" s="3267"/>
      <c r="B60" s="3265"/>
      <c r="C60" s="3265"/>
      <c r="D60" s="3268">
        <v>65.790000000000006</v>
      </c>
      <c r="E60" s="3291"/>
      <c r="F60" s="3292" t="s">
        <v>4624</v>
      </c>
      <c r="G60" s="3270" t="s">
        <v>4625</v>
      </c>
      <c r="H60" s="3268">
        <v>50</v>
      </c>
      <c r="I60" s="3271">
        <v>44652</v>
      </c>
      <c r="J60" s="3271">
        <v>45016</v>
      </c>
      <c r="K60" s="3272">
        <v>73798.357280219803</v>
      </c>
      <c r="L60" s="3273" t="s">
        <v>3242</v>
      </c>
      <c r="M60" s="3268"/>
      <c r="Q60" s="3274">
        <f t="shared" si="0"/>
        <v>4.0437456043956059</v>
      </c>
    </row>
    <row r="61" spans="1:17" s="3274" customFormat="1" ht="28" x14ac:dyDescent="0.2">
      <c r="A61" s="3267"/>
      <c r="B61" s="3265"/>
      <c r="C61" s="3265"/>
      <c r="D61" s="3275">
        <v>102.81578947368401</v>
      </c>
      <c r="E61" s="3276"/>
      <c r="F61" s="3292" t="s">
        <v>4626</v>
      </c>
      <c r="G61" s="3270" t="s">
        <v>4627</v>
      </c>
      <c r="H61" s="3275">
        <v>78.14</v>
      </c>
      <c r="I61" s="3271">
        <v>44275</v>
      </c>
      <c r="J61" s="3271">
        <v>45370</v>
      </c>
      <c r="K61" s="3272">
        <v>115573.826666667</v>
      </c>
      <c r="L61" s="3273" t="s">
        <v>3242</v>
      </c>
      <c r="M61" s="3268"/>
      <c r="Q61" s="3274">
        <f t="shared" si="0"/>
        <v>4.0522219222493865</v>
      </c>
    </row>
    <row r="62" spans="1:17" s="3274" customFormat="1" ht="14" x14ac:dyDescent="0.2">
      <c r="A62" s="3267"/>
      <c r="B62" s="3265"/>
      <c r="C62" s="3265"/>
      <c r="D62" s="3275">
        <v>65.618421052631604</v>
      </c>
      <c r="E62" s="3276"/>
      <c r="F62" s="3292" t="s">
        <v>4628</v>
      </c>
      <c r="G62" s="3270" t="s">
        <v>4629</v>
      </c>
      <c r="H62" s="3275">
        <v>49.87</v>
      </c>
      <c r="I62" s="3271">
        <v>44301</v>
      </c>
      <c r="J62" s="3271">
        <v>45030</v>
      </c>
      <c r="K62" s="3272">
        <v>69715.764999999999</v>
      </c>
      <c r="L62" s="3273" t="s">
        <v>3242</v>
      </c>
      <c r="M62" s="3268"/>
      <c r="Q62" s="3274">
        <f t="shared" si="0"/>
        <v>3.8299999175939639</v>
      </c>
    </row>
    <row r="63" spans="1:17" s="3274" customFormat="1" ht="28" x14ac:dyDescent="0.2">
      <c r="A63" s="3267"/>
      <c r="B63" s="3265"/>
      <c r="C63" s="3265"/>
      <c r="D63" s="3268">
        <v>292.85526315789502</v>
      </c>
      <c r="E63" s="3291"/>
      <c r="F63" s="3292" t="s">
        <v>4630</v>
      </c>
      <c r="G63" s="3270" t="s">
        <v>4631</v>
      </c>
      <c r="H63" s="3268">
        <v>222.57</v>
      </c>
      <c r="I63" s="3271">
        <v>44348</v>
      </c>
      <c r="J63" s="3271">
        <v>46173</v>
      </c>
      <c r="K63" s="3272">
        <v>351577.978</v>
      </c>
      <c r="L63" s="3273" t="s">
        <v>3242</v>
      </c>
      <c r="M63" s="3268"/>
      <c r="Q63" s="3274">
        <f t="shared" si="0"/>
        <v>4.3277500875513386</v>
      </c>
    </row>
    <row r="64" spans="1:17" s="3274" customFormat="1" ht="14" x14ac:dyDescent="0.2">
      <c r="A64" s="3267"/>
      <c r="B64" s="3265"/>
      <c r="C64" s="3265"/>
      <c r="D64" s="3275">
        <v>161.84</v>
      </c>
      <c r="E64" s="3276"/>
      <c r="F64" s="3292" t="s">
        <v>4632</v>
      </c>
      <c r="G64" s="3270" t="s">
        <v>4633</v>
      </c>
      <c r="H64" s="3275">
        <v>123</v>
      </c>
      <c r="I64" s="3271">
        <v>44542</v>
      </c>
      <c r="J64" s="3271">
        <v>44906</v>
      </c>
      <c r="K64" s="3272">
        <v>215047.06</v>
      </c>
      <c r="L64" s="3273" t="s">
        <v>3242</v>
      </c>
      <c r="M64" s="3268"/>
      <c r="Q64" s="3274">
        <f t="shared" si="0"/>
        <v>4.7900002227419529</v>
      </c>
    </row>
    <row r="65" spans="1:17" s="3274" customFormat="1" ht="14" x14ac:dyDescent="0.2">
      <c r="A65" s="3267"/>
      <c r="B65" s="3265"/>
      <c r="C65" s="3265"/>
      <c r="D65" s="3275">
        <v>86.84</v>
      </c>
      <c r="E65" s="3276"/>
      <c r="F65" s="3292" t="s">
        <v>4634</v>
      </c>
      <c r="G65" s="3270" t="s">
        <v>4635</v>
      </c>
      <c r="H65" s="3275">
        <v>66</v>
      </c>
      <c r="I65" s="3271">
        <v>44602</v>
      </c>
      <c r="J65" s="3271">
        <v>45331</v>
      </c>
      <c r="K65" s="3272">
        <v>107441.42</v>
      </c>
      <c r="L65" s="3273" t="s">
        <v>3242</v>
      </c>
      <c r="M65" s="3268"/>
      <c r="Q65" s="3274">
        <f t="shared" si="0"/>
        <v>4.4600008302200083</v>
      </c>
    </row>
    <row r="66" spans="1:17" s="3274" customFormat="1" ht="14" x14ac:dyDescent="0.2">
      <c r="A66" s="3267"/>
      <c r="B66" s="3265"/>
      <c r="C66" s="3265"/>
      <c r="D66" s="3275">
        <v>265.92105263157902</v>
      </c>
      <c r="E66" s="3276"/>
      <c r="F66" s="3292" t="s">
        <v>4636</v>
      </c>
      <c r="G66" s="3270" t="s">
        <v>4637</v>
      </c>
      <c r="H66" s="3275">
        <v>202.1</v>
      </c>
      <c r="I66" s="3271">
        <v>43916</v>
      </c>
      <c r="J66" s="3271">
        <v>44645</v>
      </c>
      <c r="K66" s="3272">
        <v>327523.26</v>
      </c>
      <c r="L66" s="3273" t="s">
        <v>3242</v>
      </c>
      <c r="M66" s="3268"/>
      <c r="Q66" s="3274">
        <f t="shared" si="0"/>
        <v>4.4400000000000004</v>
      </c>
    </row>
    <row r="67" spans="1:17" s="3274" customFormat="1" ht="14" x14ac:dyDescent="0.2">
      <c r="A67" s="3267"/>
      <c r="B67" s="3265"/>
      <c r="C67" s="3265"/>
      <c r="D67" s="3268">
        <v>207.63157894736801</v>
      </c>
      <c r="E67" s="3291"/>
      <c r="F67" s="3292" t="s">
        <v>4638</v>
      </c>
      <c r="G67" s="3270" t="s">
        <v>4639</v>
      </c>
      <c r="H67" s="3268">
        <v>157.80000000000001</v>
      </c>
      <c r="I67" s="3271">
        <v>44068</v>
      </c>
      <c r="J67" s="3271">
        <v>44797</v>
      </c>
      <c r="K67" s="3272">
        <v>242195.4</v>
      </c>
      <c r="L67" s="3273" t="s">
        <v>3242</v>
      </c>
      <c r="M67" s="3268"/>
      <c r="Q67" s="3274">
        <f t="shared" si="0"/>
        <v>4.2050002604302303</v>
      </c>
    </row>
    <row r="68" spans="1:17" s="3274" customFormat="1" ht="28" x14ac:dyDescent="0.2">
      <c r="A68" s="3267"/>
      <c r="B68" s="3265"/>
      <c r="C68" s="3265"/>
      <c r="D68" s="3275">
        <v>135.53</v>
      </c>
      <c r="E68" s="3276"/>
      <c r="F68" s="3292" t="s">
        <v>4640</v>
      </c>
      <c r="G68" s="3270" t="s">
        <v>4641</v>
      </c>
      <c r="H68" s="3275"/>
      <c r="I68" s="3271">
        <v>44136</v>
      </c>
      <c r="J68" s="3271">
        <v>45230</v>
      </c>
      <c r="K68" s="3272">
        <v>156520.51999999999</v>
      </c>
      <c r="L68" s="3273" t="s">
        <v>3242</v>
      </c>
      <c r="M68" s="3268"/>
    </row>
    <row r="69" spans="1:17" s="3274" customFormat="1" ht="14" x14ac:dyDescent="0.15">
      <c r="A69" s="3267"/>
      <c r="B69" s="3265"/>
      <c r="C69" s="3296"/>
      <c r="D69" s="3275">
        <v>212.61842105263199</v>
      </c>
      <c r="E69" s="3276"/>
      <c r="F69" s="3292" t="s">
        <v>4642</v>
      </c>
      <c r="G69" s="3270" t="s">
        <v>4643</v>
      </c>
      <c r="H69" s="3275">
        <v>161.59</v>
      </c>
      <c r="I69" s="3271">
        <v>43590</v>
      </c>
      <c r="J69" s="3271">
        <v>44685</v>
      </c>
      <c r="K69" s="3272">
        <v>246144.653333333</v>
      </c>
      <c r="L69" s="3273" t="s">
        <v>3242</v>
      </c>
      <c r="M69" s="3268"/>
      <c r="Q69" s="3274">
        <f t="shared" ref="Q69:Q90" si="1">K69/H69/365</f>
        <v>4.1733332089981321</v>
      </c>
    </row>
    <row r="70" spans="1:17" s="3274" customFormat="1" ht="28" x14ac:dyDescent="0.2">
      <c r="A70" s="3267"/>
      <c r="B70" s="3265"/>
      <c r="C70" s="3265"/>
      <c r="D70" s="3275">
        <v>215.86842105263199</v>
      </c>
      <c r="E70" s="3276"/>
      <c r="F70" s="3292" t="s">
        <v>4644</v>
      </c>
      <c r="G70" s="3270" t="s">
        <v>4645</v>
      </c>
      <c r="H70" s="3275">
        <v>164.06</v>
      </c>
      <c r="I70" s="3271">
        <v>44324</v>
      </c>
      <c r="J70" s="3271">
        <v>45419</v>
      </c>
      <c r="K70" s="3272">
        <v>239328.00333333301</v>
      </c>
      <c r="L70" s="3273" t="s">
        <v>3242</v>
      </c>
      <c r="M70" s="3268"/>
      <c r="Q70" s="3274">
        <f t="shared" si="1"/>
        <v>3.9966668280955182</v>
      </c>
    </row>
    <row r="71" spans="1:17" s="3274" customFormat="1" ht="14" x14ac:dyDescent="0.2">
      <c r="A71" s="3267"/>
      <c r="B71" s="3265"/>
      <c r="C71" s="3265"/>
      <c r="D71" s="3275">
        <v>195.76315789473699</v>
      </c>
      <c r="E71" s="3276"/>
      <c r="F71" s="3292" t="s">
        <v>4646</v>
      </c>
      <c r="G71" s="3270" t="s">
        <v>4647</v>
      </c>
      <c r="H71" s="3275">
        <v>148.78</v>
      </c>
      <c r="I71" s="3271">
        <v>44607</v>
      </c>
      <c r="J71" s="3271">
        <v>45336</v>
      </c>
      <c r="K71" s="3272">
        <v>197533.35</v>
      </c>
      <c r="L71" s="3273" t="s">
        <v>3242</v>
      </c>
      <c r="M71" s="3268"/>
      <c r="Q71" s="3274">
        <f t="shared" si="1"/>
        <v>3.6375000690547963</v>
      </c>
    </row>
    <row r="72" spans="1:17" s="3274" customFormat="1" ht="14" x14ac:dyDescent="0.2">
      <c r="A72" s="3267"/>
      <c r="B72" s="3265"/>
      <c r="C72" s="3265"/>
      <c r="D72" s="3297">
        <f>SUM(D38:D71)</f>
        <v>5210.4594736842118</v>
      </c>
      <c r="E72" s="3298"/>
      <c r="F72" s="3292"/>
      <c r="G72" s="3270"/>
      <c r="H72" s="3275">
        <f>SUM(H38:H71)</f>
        <v>3857.2700000000004</v>
      </c>
      <c r="I72" s="3271"/>
      <c r="J72" s="3271"/>
      <c r="K72" s="3272"/>
      <c r="L72" s="3273"/>
      <c r="M72" s="3268"/>
      <c r="Q72" s="3274">
        <f t="shared" si="1"/>
        <v>0</v>
      </c>
    </row>
    <row r="73" spans="1:17" s="3274" customFormat="1" ht="28" x14ac:dyDescent="0.2">
      <c r="A73" s="3265" t="s">
        <v>4648</v>
      </c>
      <c r="B73" s="3265">
        <v>3</v>
      </c>
      <c r="C73" s="3267" t="s">
        <v>4649</v>
      </c>
      <c r="D73" s="3275">
        <v>213.95744680851101</v>
      </c>
      <c r="E73" s="3434">
        <v>676.95</v>
      </c>
      <c r="F73" s="3270" t="s">
        <v>4649</v>
      </c>
      <c r="G73" s="3270" t="s">
        <v>4650</v>
      </c>
      <c r="H73" s="3268">
        <v>201.12</v>
      </c>
      <c r="I73" s="3271">
        <v>44173</v>
      </c>
      <c r="J73" s="3271">
        <v>45998</v>
      </c>
      <c r="K73" s="3272">
        <v>536177.88</v>
      </c>
      <c r="L73" s="3273" t="s">
        <v>3242</v>
      </c>
      <c r="M73" s="3268" t="s">
        <v>3192</v>
      </c>
      <c r="Q73" s="3274">
        <f t="shared" si="1"/>
        <v>7.3040000653872559</v>
      </c>
    </row>
    <row r="74" spans="1:17" s="3274" customFormat="1" ht="14" x14ac:dyDescent="0.2">
      <c r="A74" s="3265"/>
      <c r="B74" s="3266"/>
      <c r="C74" s="3267" t="s">
        <v>4651</v>
      </c>
      <c r="D74" s="3275">
        <v>169.563829787234</v>
      </c>
      <c r="E74" s="3435"/>
      <c r="F74" s="3270" t="s">
        <v>4651</v>
      </c>
      <c r="G74" s="3270" t="s">
        <v>4652</v>
      </c>
      <c r="H74" s="3268">
        <v>159.38999999999999</v>
      </c>
      <c r="I74" s="3271">
        <v>44173</v>
      </c>
      <c r="J74" s="3271">
        <v>46029</v>
      </c>
      <c r="K74" s="3272">
        <v>462593.91732283501</v>
      </c>
      <c r="L74" s="3273" t="s">
        <v>3242</v>
      </c>
      <c r="M74" s="3268" t="s">
        <v>3192</v>
      </c>
      <c r="Q74" s="3274">
        <f t="shared" si="1"/>
        <v>7.9514436000064466</v>
      </c>
    </row>
    <row r="75" spans="1:17" s="3274" customFormat="1" ht="26.25" customHeight="1" x14ac:dyDescent="0.2">
      <c r="A75" s="3265"/>
      <c r="B75" s="3265"/>
      <c r="C75" s="3267" t="s">
        <v>4653</v>
      </c>
      <c r="D75" s="3293">
        <v>196.66</v>
      </c>
      <c r="E75" s="3294">
        <v>196.66</v>
      </c>
      <c r="F75" s="3295" t="s">
        <v>4653</v>
      </c>
      <c r="G75" s="3295" t="s">
        <v>4654</v>
      </c>
      <c r="H75" s="3268">
        <v>184.37</v>
      </c>
      <c r="I75" s="3271">
        <v>44440</v>
      </c>
      <c r="J75" s="3271">
        <v>45535</v>
      </c>
      <c r="K75" s="3272">
        <v>712878.89333333296</v>
      </c>
      <c r="L75" s="3273" t="s">
        <v>3242</v>
      </c>
      <c r="M75" s="3268" t="s">
        <v>3190</v>
      </c>
      <c r="Q75" s="3274">
        <f t="shared" si="1"/>
        <v>10.593333288753525</v>
      </c>
    </row>
    <row r="76" spans="1:17" s="3274" customFormat="1" ht="14" x14ac:dyDescent="0.2">
      <c r="A76" s="3265"/>
      <c r="B76" s="3265"/>
      <c r="C76" s="3267" t="s">
        <v>4532</v>
      </c>
      <c r="D76" s="3293">
        <v>193.27</v>
      </c>
      <c r="E76" s="3294">
        <v>193.78</v>
      </c>
      <c r="F76" s="3295" t="s">
        <v>4532</v>
      </c>
      <c r="G76" s="3295" t="s">
        <v>4655</v>
      </c>
      <c r="H76" s="3268">
        <v>181.67</v>
      </c>
      <c r="I76" s="3271">
        <v>44409</v>
      </c>
      <c r="J76" s="3271">
        <v>45504</v>
      </c>
      <c r="K76" s="3272">
        <v>702439.16</v>
      </c>
      <c r="L76" s="3273" t="s">
        <v>3242</v>
      </c>
      <c r="M76" s="3268" t="s">
        <v>4473</v>
      </c>
      <c r="Q76" s="3274">
        <f t="shared" si="1"/>
        <v>10.593333237821703</v>
      </c>
    </row>
    <row r="77" spans="1:17" s="3274" customFormat="1" ht="14" x14ac:dyDescent="0.2">
      <c r="A77" s="3265"/>
      <c r="B77" s="3266"/>
      <c r="C77" s="3267" t="s">
        <v>4656</v>
      </c>
      <c r="D77" s="3275">
        <v>127.68085106383</v>
      </c>
      <c r="E77" s="3276">
        <v>128.02000000000001</v>
      </c>
      <c r="F77" s="3270" t="s">
        <v>4656</v>
      </c>
      <c r="G77" s="3270" t="s">
        <v>4657</v>
      </c>
      <c r="H77" s="3268">
        <v>120.02</v>
      </c>
      <c r="I77" s="3271">
        <v>44363</v>
      </c>
      <c r="J77" s="3271">
        <v>45092</v>
      </c>
      <c r="K77" s="3272">
        <v>400207.07500000001</v>
      </c>
      <c r="L77" s="3273" t="s">
        <v>3242</v>
      </c>
      <c r="M77" s="3268" t="s">
        <v>3187</v>
      </c>
      <c r="Q77" s="3274">
        <f t="shared" si="1"/>
        <v>9.1356252268457538</v>
      </c>
    </row>
    <row r="78" spans="1:17" s="3274" customFormat="1" ht="14" x14ac:dyDescent="0.2">
      <c r="A78" s="3265"/>
      <c r="B78" s="3266"/>
      <c r="C78" s="3267" t="s">
        <v>4534</v>
      </c>
      <c r="D78" s="3275">
        <v>204.095744680851</v>
      </c>
      <c r="E78" s="3276">
        <v>204.64</v>
      </c>
      <c r="F78" s="3270" t="s">
        <v>4534</v>
      </c>
      <c r="G78" s="3270" t="s">
        <v>4658</v>
      </c>
      <c r="H78" s="3268">
        <v>191.85</v>
      </c>
      <c r="I78" s="3271">
        <v>44352</v>
      </c>
      <c r="J78" s="3271">
        <v>45081</v>
      </c>
      <c r="K78" s="3272">
        <v>639566.87</v>
      </c>
      <c r="L78" s="3273" t="s">
        <v>3242</v>
      </c>
      <c r="M78" s="3268" t="s">
        <v>3188</v>
      </c>
      <c r="Q78" s="3274">
        <f t="shared" si="1"/>
        <v>9.1333750325775345</v>
      </c>
    </row>
    <row r="79" spans="1:17" s="3274" customFormat="1" ht="14" x14ac:dyDescent="0.2">
      <c r="A79" s="3265"/>
      <c r="B79" s="3266"/>
      <c r="C79" s="3267" t="s">
        <v>4541</v>
      </c>
      <c r="D79" s="3275">
        <v>78.978723404255305</v>
      </c>
      <c r="E79" s="3276">
        <v>113.83</v>
      </c>
      <c r="F79" s="3270" t="s">
        <v>4541</v>
      </c>
      <c r="G79" s="3270" t="s">
        <v>4659</v>
      </c>
      <c r="H79" s="3268">
        <v>74.239999999999995</v>
      </c>
      <c r="I79" s="3271">
        <v>44287</v>
      </c>
      <c r="J79" s="3271">
        <v>45046</v>
      </c>
      <c r="K79" s="3272">
        <v>215391.18269230801</v>
      </c>
      <c r="L79" s="3273" t="s">
        <v>3242</v>
      </c>
      <c r="M79" s="3268" t="s">
        <v>3196</v>
      </c>
      <c r="Q79" s="3274">
        <f t="shared" si="1"/>
        <v>7.9487180669988495</v>
      </c>
    </row>
    <row r="80" spans="1:17" s="3274" customFormat="1" ht="28" x14ac:dyDescent="0.2">
      <c r="A80" s="3265"/>
      <c r="B80" s="3266"/>
      <c r="C80" s="3267" t="s">
        <v>4660</v>
      </c>
      <c r="D80" s="3275">
        <v>146.81</v>
      </c>
      <c r="E80" s="3276">
        <v>147.19999999999999</v>
      </c>
      <c r="F80" s="3270" t="s">
        <v>4660</v>
      </c>
      <c r="G80" s="3270" t="s">
        <v>4661</v>
      </c>
      <c r="H80" s="3268">
        <v>138</v>
      </c>
      <c r="I80" s="3271">
        <v>44317</v>
      </c>
      <c r="J80" s="3271">
        <v>45046</v>
      </c>
      <c r="K80" s="3272">
        <v>490100.12</v>
      </c>
      <c r="L80" s="3273" t="s">
        <v>3242</v>
      </c>
      <c r="M80" s="3268" t="s">
        <v>3198</v>
      </c>
      <c r="Q80" s="3274">
        <f t="shared" si="1"/>
        <v>9.7300003970617439</v>
      </c>
    </row>
    <row r="81" spans="1:17" s="3274" customFormat="1" ht="14" x14ac:dyDescent="0.2">
      <c r="A81" s="3265"/>
      <c r="B81" s="3265"/>
      <c r="C81" s="3267" t="s">
        <v>4552</v>
      </c>
      <c r="D81" s="3275">
        <v>164.840425531915</v>
      </c>
      <c r="E81" s="3276">
        <v>165.28</v>
      </c>
      <c r="F81" s="3270" t="s">
        <v>4552</v>
      </c>
      <c r="G81" s="3270" t="s">
        <v>4662</v>
      </c>
      <c r="H81" s="3268">
        <v>154.94999999999999</v>
      </c>
      <c r="I81" s="3271">
        <v>44193</v>
      </c>
      <c r="J81" s="3271">
        <v>45318</v>
      </c>
      <c r="K81" s="3272">
        <v>535024.40584415605</v>
      </c>
      <c r="L81" s="3273" t="s">
        <v>3242</v>
      </c>
      <c r="M81" s="3268" t="s">
        <v>3199</v>
      </c>
      <c r="Q81" s="3274">
        <f t="shared" si="1"/>
        <v>9.4599566956049639</v>
      </c>
    </row>
    <row r="82" spans="1:17" s="3274" customFormat="1" ht="14" x14ac:dyDescent="0.2">
      <c r="A82" s="3265"/>
      <c r="B82" s="3265"/>
      <c r="C82" s="3267" t="s">
        <v>4554</v>
      </c>
      <c r="D82" s="3275">
        <v>168.968085106383</v>
      </c>
      <c r="E82" s="3276">
        <v>169.42</v>
      </c>
      <c r="F82" s="3270" t="s">
        <v>4554</v>
      </c>
      <c r="G82" s="3270" t="s">
        <v>4663</v>
      </c>
      <c r="H82" s="3268">
        <v>158.83000000000001</v>
      </c>
      <c r="I82" s="3271">
        <v>44256</v>
      </c>
      <c r="J82" s="3271">
        <v>45382</v>
      </c>
      <c r="K82" s="3272">
        <v>546758.95779220795</v>
      </c>
      <c r="L82" s="3273" t="s">
        <v>3242</v>
      </c>
      <c r="M82" s="3268" t="s">
        <v>3200</v>
      </c>
      <c r="Q82" s="3274">
        <f t="shared" si="1"/>
        <v>9.4312771351502374</v>
      </c>
    </row>
    <row r="83" spans="1:17" s="3274" customFormat="1" ht="14" x14ac:dyDescent="0.2">
      <c r="A83" s="3265"/>
      <c r="B83" s="3266"/>
      <c r="C83" s="3267" t="s">
        <v>4555</v>
      </c>
      <c r="D83" s="3275">
        <v>147.595744680851</v>
      </c>
      <c r="E83" s="3276">
        <v>147.99</v>
      </c>
      <c r="F83" s="3270" t="s">
        <v>4555</v>
      </c>
      <c r="G83" s="3270" t="s">
        <v>4664</v>
      </c>
      <c r="H83" s="3268">
        <v>138.74</v>
      </c>
      <c r="I83" s="3271">
        <v>44287</v>
      </c>
      <c r="J83" s="3271">
        <v>45046</v>
      </c>
      <c r="K83" s="3272">
        <v>454482.73076923098</v>
      </c>
      <c r="L83" s="3273" t="s">
        <v>3242</v>
      </c>
      <c r="M83" s="3268" t="s">
        <v>3201</v>
      </c>
      <c r="Q83" s="3274">
        <f t="shared" si="1"/>
        <v>8.9747597411780582</v>
      </c>
    </row>
    <row r="84" spans="1:17" s="3274" customFormat="1" ht="14" x14ac:dyDescent="0.2">
      <c r="A84" s="3265"/>
      <c r="B84" s="3266"/>
      <c r="C84" s="3267" t="s">
        <v>4557</v>
      </c>
      <c r="D84" s="3275">
        <v>148.223404255319</v>
      </c>
      <c r="E84" s="3276">
        <v>148.62</v>
      </c>
      <c r="F84" s="3270" t="s">
        <v>4557</v>
      </c>
      <c r="G84" s="3270" t="s">
        <v>4665</v>
      </c>
      <c r="H84" s="3268">
        <v>139.33000000000001</v>
      </c>
      <c r="I84" s="3271">
        <v>44301</v>
      </c>
      <c r="J84" s="3271">
        <v>46126</v>
      </c>
      <c r="K84" s="3272">
        <v>518331.45199999999</v>
      </c>
      <c r="L84" s="3273" t="s">
        <v>3242</v>
      </c>
      <c r="M84" s="3268" t="s">
        <v>3206</v>
      </c>
      <c r="Q84" s="3274">
        <f t="shared" si="1"/>
        <v>10.192249837529705</v>
      </c>
    </row>
    <row r="85" spans="1:17" s="3274" customFormat="1" ht="28" x14ac:dyDescent="0.2">
      <c r="A85" s="3265"/>
      <c r="B85" s="3265"/>
      <c r="C85" s="3299" t="s">
        <v>3208</v>
      </c>
      <c r="D85" s="3275">
        <v>267.11</v>
      </c>
      <c r="E85" s="3276">
        <v>1068.29</v>
      </c>
      <c r="F85" s="3292" t="s">
        <v>4666</v>
      </c>
      <c r="G85" s="3270" t="s">
        <v>4667</v>
      </c>
      <c r="H85" s="3275">
        <v>203</v>
      </c>
      <c r="I85" s="3271">
        <v>44440</v>
      </c>
      <c r="J85" s="3271">
        <v>45169</v>
      </c>
      <c r="K85" s="3272">
        <v>310087.58</v>
      </c>
      <c r="L85" s="3273" t="s">
        <v>3242</v>
      </c>
      <c r="M85" s="3268"/>
      <c r="Q85" s="3274">
        <f t="shared" si="1"/>
        <v>4.1850000674809369</v>
      </c>
    </row>
    <row r="86" spans="1:17" s="3274" customFormat="1" ht="28" x14ac:dyDescent="0.2">
      <c r="A86" s="3265"/>
      <c r="B86" s="3265"/>
      <c r="C86" s="3299" t="s">
        <v>3180</v>
      </c>
      <c r="D86" s="3275">
        <v>73.55</v>
      </c>
      <c r="E86" s="3434" t="s">
        <v>4668</v>
      </c>
      <c r="F86" s="3292" t="s">
        <v>4669</v>
      </c>
      <c r="G86" s="3270" t="s">
        <v>4670</v>
      </c>
      <c r="H86" s="3275">
        <v>55.9</v>
      </c>
      <c r="I86" s="3271">
        <v>44470</v>
      </c>
      <c r="J86" s="3271">
        <v>45199</v>
      </c>
      <c r="K86" s="3272">
        <v>85388.66</v>
      </c>
      <c r="L86" s="3273" t="s">
        <v>3242</v>
      </c>
      <c r="M86" s="3268"/>
      <c r="Q86" s="3274">
        <f t="shared" si="1"/>
        <v>4.1850006126399881</v>
      </c>
    </row>
    <row r="87" spans="1:17" s="3274" customFormat="1" ht="28" x14ac:dyDescent="0.2">
      <c r="A87" s="3265"/>
      <c r="B87" s="3265"/>
      <c r="C87" s="3300"/>
      <c r="D87" s="3275">
        <v>76.05</v>
      </c>
      <c r="E87" s="3439"/>
      <c r="F87" s="3292" t="s">
        <v>4671</v>
      </c>
      <c r="G87" s="3270" t="s">
        <v>4670</v>
      </c>
      <c r="H87" s="3275">
        <v>57.8</v>
      </c>
      <c r="I87" s="3271">
        <v>44470</v>
      </c>
      <c r="J87" s="3271">
        <v>45199</v>
      </c>
      <c r="K87" s="3272">
        <v>88290.96</v>
      </c>
      <c r="L87" s="3273" t="s">
        <v>3242</v>
      </c>
      <c r="M87" s="3268"/>
      <c r="Q87" s="3274">
        <f t="shared" si="1"/>
        <v>4.1850007110015648</v>
      </c>
    </row>
    <row r="88" spans="1:17" s="3274" customFormat="1" ht="28" x14ac:dyDescent="0.2">
      <c r="A88" s="3265"/>
      <c r="B88" s="3265"/>
      <c r="C88" s="3300"/>
      <c r="D88" s="3275">
        <v>78.03</v>
      </c>
      <c r="E88" s="3439"/>
      <c r="F88" s="3292" t="s">
        <v>4672</v>
      </c>
      <c r="G88" s="3270" t="s">
        <v>4670</v>
      </c>
      <c r="H88" s="3275">
        <v>59.3</v>
      </c>
      <c r="I88" s="3271">
        <v>44470</v>
      </c>
      <c r="J88" s="3271">
        <v>45199</v>
      </c>
      <c r="K88" s="3272">
        <v>90582.22</v>
      </c>
      <c r="L88" s="3273" t="s">
        <v>3242</v>
      </c>
      <c r="M88" s="3268"/>
      <c r="Q88" s="3274">
        <f t="shared" si="1"/>
        <v>4.184999422486082</v>
      </c>
    </row>
    <row r="89" spans="1:17" s="3274" customFormat="1" ht="14" x14ac:dyDescent="0.2">
      <c r="A89" s="3265"/>
      <c r="B89" s="3265"/>
      <c r="C89" s="3267"/>
      <c r="D89" s="3275">
        <v>46.184210526315802</v>
      </c>
      <c r="E89" s="3439"/>
      <c r="F89" s="3292" t="s">
        <v>4673</v>
      </c>
      <c r="G89" s="3270" t="s">
        <v>4674</v>
      </c>
      <c r="H89" s="3275">
        <v>35.1</v>
      </c>
      <c r="I89" s="3271">
        <v>44175</v>
      </c>
      <c r="J89" s="3271">
        <v>44904</v>
      </c>
      <c r="K89" s="3272">
        <v>50135.67</v>
      </c>
      <c r="L89" s="3273" t="s">
        <v>3242</v>
      </c>
      <c r="M89" s="3268"/>
      <c r="Q89" s="3274">
        <f t="shared" si="1"/>
        <v>3.9133333333333331</v>
      </c>
    </row>
    <row r="90" spans="1:17" s="3274" customFormat="1" ht="14" x14ac:dyDescent="0.2">
      <c r="A90" s="3265"/>
      <c r="B90" s="3265"/>
      <c r="C90" s="3267"/>
      <c r="D90" s="3293">
        <v>23.8815789473684</v>
      </c>
      <c r="E90" s="3435"/>
      <c r="F90" s="3292" t="s">
        <v>4615</v>
      </c>
      <c r="G90" s="3295" t="s">
        <v>4675</v>
      </c>
      <c r="H90" s="3293">
        <v>18.149999999999999</v>
      </c>
      <c r="I90" s="3271">
        <v>44201</v>
      </c>
      <c r="J90" s="3271">
        <v>44930</v>
      </c>
      <c r="K90" s="3272">
        <v>28753.224999999999</v>
      </c>
      <c r="L90" s="3273" t="s">
        <v>3242</v>
      </c>
      <c r="M90" s="3268"/>
      <c r="Q90" s="3274">
        <f t="shared" si="1"/>
        <v>4.3402732178572778</v>
      </c>
    </row>
    <row r="91" spans="1:17" ht="14" x14ac:dyDescent="0.2">
      <c r="A91" s="3423" t="s">
        <v>37</v>
      </c>
      <c r="B91" s="3423"/>
      <c r="C91" s="3301"/>
      <c r="D91" s="3302">
        <f>SUM(D86:D90)</f>
        <v>297.69578947368416</v>
      </c>
      <c r="E91" s="3303"/>
      <c r="F91" s="3301"/>
      <c r="G91" s="3301"/>
      <c r="H91" s="3301"/>
      <c r="I91" s="3430"/>
      <c r="J91" s="3430"/>
      <c r="K91" s="3304">
        <f>SUM(K4:K90)</f>
        <v>30140640.313627303</v>
      </c>
      <c r="L91" s="3273"/>
      <c r="M91" s="3268"/>
    </row>
  </sheetData>
  <mergeCells count="20">
    <mergeCell ref="A91:B91"/>
    <mergeCell ref="I91:J91"/>
    <mergeCell ref="K2:K3"/>
    <mergeCell ref="E5:E6"/>
    <mergeCell ref="E8:E9"/>
    <mergeCell ref="E15:E17"/>
    <mergeCell ref="E73:E74"/>
    <mergeCell ref="E86:E90"/>
    <mergeCell ref="A1:M1"/>
    <mergeCell ref="A2:A3"/>
    <mergeCell ref="B2:B3"/>
    <mergeCell ref="C2:C3"/>
    <mergeCell ref="D2:D3"/>
    <mergeCell ref="E2:E3"/>
    <mergeCell ref="F2:F3"/>
    <mergeCell ref="G2:G3"/>
    <mergeCell ref="H2:H3"/>
    <mergeCell ref="I2:J3"/>
    <mergeCell ref="L2:L3"/>
    <mergeCell ref="M2:M3"/>
  </mergeCells>
  <phoneticPr fontId="140" type="noConversion"/>
  <pageMargins left="0.7" right="0.7" top="0.75" bottom="0.75" header="0.3" footer="0.3"/>
  <pageSetup paperSize="8"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92"/>
  <sheetViews>
    <sheetView tabSelected="1" topLeftCell="A64" workbookViewId="0">
      <selection activeCell="H90" sqref="H90"/>
    </sheetView>
  </sheetViews>
  <sheetFormatPr baseColWidth="10" defaultColWidth="8.83203125" defaultRowHeight="15" x14ac:dyDescent="0.2"/>
  <cols>
    <col min="1" max="2" width="8.83203125" style="3232"/>
    <col min="3" max="3" width="7.6640625" style="3232" customWidth="1"/>
    <col min="4" max="4" width="5" style="3232" customWidth="1"/>
    <col min="5" max="5" width="9.5" style="3232" customWidth="1"/>
    <col min="6" max="7" width="11.1640625" style="3232" customWidth="1"/>
    <col min="8" max="8" width="12" style="3232" customWidth="1"/>
    <col min="9" max="9" width="9.6640625" style="3232" bestFit="1" customWidth="1"/>
    <col min="10" max="10" width="11.83203125" style="3232" customWidth="1"/>
    <col min="11" max="11" width="15.1640625" style="3232" customWidth="1"/>
    <col min="12" max="12" width="17.1640625" style="3232" customWidth="1"/>
    <col min="13" max="13" width="20" style="3232" customWidth="1"/>
    <col min="14" max="14" width="15.83203125" style="3353" customWidth="1"/>
    <col min="15" max="15" width="16.83203125" style="3354" customWidth="1"/>
    <col min="16" max="16" width="14.5" style="3232" customWidth="1"/>
    <col min="17" max="17" width="11.6640625" style="3232" customWidth="1"/>
    <col min="18" max="18" width="9.5" style="3232" customWidth="1"/>
    <col min="19" max="16384" width="8.83203125" style="3232"/>
  </cols>
  <sheetData>
    <row r="1" spans="1:18" x14ac:dyDescent="0.2">
      <c r="J1" s="3235">
        <v>44868</v>
      </c>
      <c r="R1" s="3234"/>
    </row>
    <row r="2" spans="1:18" ht="28" x14ac:dyDescent="0.2">
      <c r="A2" s="3308" t="s">
        <v>4676</v>
      </c>
      <c r="B2" s="3308" t="s">
        <v>4677</v>
      </c>
      <c r="C2" s="3309" t="s">
        <v>4678</v>
      </c>
      <c r="D2" s="3308" t="s">
        <v>4447</v>
      </c>
      <c r="E2" s="3308" t="s">
        <v>4679</v>
      </c>
      <c r="F2" s="3309" t="s">
        <v>4680</v>
      </c>
      <c r="G2" s="3309" t="s">
        <v>4681</v>
      </c>
      <c r="H2" s="3449" t="s">
        <v>4682</v>
      </c>
      <c r="I2" s="3449"/>
      <c r="J2" s="3308" t="s">
        <v>4683</v>
      </c>
      <c r="K2" s="3308" t="s">
        <v>4684</v>
      </c>
      <c r="L2" s="3308" t="s">
        <v>4685</v>
      </c>
      <c r="M2" s="3309" t="s">
        <v>4686</v>
      </c>
      <c r="N2" s="3355" t="s">
        <v>4721</v>
      </c>
      <c r="O2" s="3355" t="s">
        <v>4722</v>
      </c>
      <c r="R2" s="3234"/>
    </row>
    <row r="3" spans="1:18" x14ac:dyDescent="0.2">
      <c r="A3" s="3450" t="s">
        <v>4470</v>
      </c>
      <c r="B3" s="3450" t="s">
        <v>3192</v>
      </c>
      <c r="C3" s="3451" t="s">
        <v>4687</v>
      </c>
      <c r="D3" s="3450" t="s">
        <v>3664</v>
      </c>
      <c r="E3" s="3452">
        <v>676.95</v>
      </c>
      <c r="F3" s="3310">
        <v>201.12</v>
      </c>
      <c r="G3" s="3453">
        <f t="shared" ref="G3:G18" si="0">F3/E3</f>
        <v>0.29709727454021712</v>
      </c>
      <c r="H3" s="3311">
        <v>44173</v>
      </c>
      <c r="I3" s="3311">
        <v>45998</v>
      </c>
      <c r="J3" s="3312">
        <f>(I3-J1)/365</f>
        <v>3.095890410958904</v>
      </c>
      <c r="K3" s="3313">
        <v>536177.88</v>
      </c>
      <c r="L3" s="3452">
        <f>ROUND((K3+K4)/E3/365,2)</f>
        <v>4.04</v>
      </c>
      <c r="M3" s="3310">
        <f t="shared" ref="M3:M14" si="1">ROUND(K3/F3/365,2)</f>
        <v>7.3</v>
      </c>
      <c r="N3" s="3446">
        <f ca="1">M82</f>
        <v>42333</v>
      </c>
      <c r="O3" s="3446">
        <f ca="1">ROUND(E3*N3/10000,0)</f>
        <v>2866</v>
      </c>
      <c r="R3" s="3234"/>
    </row>
    <row r="4" spans="1:18" x14ac:dyDescent="0.2">
      <c r="A4" s="3450"/>
      <c r="B4" s="3450"/>
      <c r="C4" s="3451"/>
      <c r="D4" s="3450"/>
      <c r="E4" s="3452"/>
      <c r="F4" s="3310">
        <v>159.38999999999999</v>
      </c>
      <c r="G4" s="3453"/>
      <c r="H4" s="3311">
        <v>44173</v>
      </c>
      <c r="I4" s="3311">
        <v>46029</v>
      </c>
      <c r="J4" s="3312">
        <f>(I4-J1)/365</f>
        <v>3.1808219178082191</v>
      </c>
      <c r="K4" s="3313">
        <v>462593.91732283501</v>
      </c>
      <c r="L4" s="3452"/>
      <c r="M4" s="3310">
        <f t="shared" si="1"/>
        <v>7.95</v>
      </c>
      <c r="N4" s="3447"/>
      <c r="O4" s="3447"/>
      <c r="R4" s="3234"/>
    </row>
    <row r="5" spans="1:18" x14ac:dyDescent="0.2">
      <c r="A5" s="3339" t="s">
        <v>4470</v>
      </c>
      <c r="B5" s="3339" t="s">
        <v>3190</v>
      </c>
      <c r="C5" s="3340" t="s">
        <v>4688</v>
      </c>
      <c r="D5" s="3339" t="s">
        <v>3664</v>
      </c>
      <c r="E5" s="3341">
        <v>196.66</v>
      </c>
      <c r="F5" s="3310">
        <v>184.37</v>
      </c>
      <c r="G5" s="3317">
        <f>F5/E5</f>
        <v>0.93750635614766609</v>
      </c>
      <c r="H5" s="3311">
        <v>44440</v>
      </c>
      <c r="I5" s="3311">
        <v>45535</v>
      </c>
      <c r="J5" s="3312">
        <f>(I5-J1)/365</f>
        <v>1.8273972602739725</v>
      </c>
      <c r="K5" s="3313">
        <v>712878.89333333296</v>
      </c>
      <c r="L5" s="3341">
        <f t="shared" ref="L5:L17" si="2">ROUND(K5/E5/365,2)</f>
        <v>9.93</v>
      </c>
      <c r="M5" s="3310">
        <f t="shared" si="1"/>
        <v>10.59</v>
      </c>
      <c r="N5" s="3356">
        <f ca="1">N3</f>
        <v>42333</v>
      </c>
      <c r="O5" s="3355">
        <f ca="1">ROUND(E5*N5/10000,2)</f>
        <v>832.52</v>
      </c>
    </row>
    <row r="6" spans="1:18" x14ac:dyDescent="0.2">
      <c r="A6" s="3314" t="s">
        <v>4470</v>
      </c>
      <c r="B6" s="3314" t="s">
        <v>4473</v>
      </c>
      <c r="C6" s="3315" t="s">
        <v>4689</v>
      </c>
      <c r="D6" s="3314" t="s">
        <v>3664</v>
      </c>
      <c r="E6" s="3316">
        <v>193.78</v>
      </c>
      <c r="F6" s="3310">
        <v>181.67</v>
      </c>
      <c r="G6" s="3317">
        <f t="shared" si="0"/>
        <v>0.93750645061409843</v>
      </c>
      <c r="H6" s="3311">
        <v>44409</v>
      </c>
      <c r="I6" s="3311">
        <v>45504</v>
      </c>
      <c r="J6" s="3312">
        <f>(I6-J1)/365</f>
        <v>1.7424657534246575</v>
      </c>
      <c r="K6" s="3313">
        <v>702439.16</v>
      </c>
      <c r="L6" s="3316">
        <f t="shared" si="2"/>
        <v>9.93</v>
      </c>
      <c r="M6" s="3310">
        <f t="shared" si="1"/>
        <v>10.59</v>
      </c>
      <c r="N6" s="3356">
        <f ca="1">N5</f>
        <v>42333</v>
      </c>
      <c r="O6" s="3355">
        <f ca="1">ROUND(E6*N6/10000,2)</f>
        <v>820.33</v>
      </c>
    </row>
    <row r="7" spans="1:18" x14ac:dyDescent="0.2">
      <c r="A7" s="3314" t="s">
        <v>4690</v>
      </c>
      <c r="B7" s="3314" t="s">
        <v>4691</v>
      </c>
      <c r="C7" s="3315" t="s">
        <v>4692</v>
      </c>
      <c r="D7" s="3314" t="s">
        <v>4693</v>
      </c>
      <c r="E7" s="3316">
        <v>128.02000000000001</v>
      </c>
      <c r="F7" s="3317">
        <v>120.02</v>
      </c>
      <c r="G7" s="3317">
        <f>F7/E7</f>
        <v>0.93750976409935938</v>
      </c>
      <c r="H7" s="3318">
        <v>44363</v>
      </c>
      <c r="I7" s="3318">
        <v>45092</v>
      </c>
      <c r="J7" s="3319">
        <f>(I7-J1)/365</f>
        <v>0.61369863013698633</v>
      </c>
      <c r="K7" s="3313">
        <v>400207.08</v>
      </c>
      <c r="L7" s="3316">
        <f t="shared" si="2"/>
        <v>8.56</v>
      </c>
      <c r="M7" s="3310">
        <f t="shared" si="1"/>
        <v>9.14</v>
      </c>
      <c r="N7" s="3356">
        <f t="shared" ref="N7" ca="1" si="3">N5</f>
        <v>42333</v>
      </c>
      <c r="O7" s="3355">
        <f ca="1">ROUND(E7*N7/10000,2)</f>
        <v>541.95000000000005</v>
      </c>
    </row>
    <row r="8" spans="1:18" x14ac:dyDescent="0.2">
      <c r="A8" s="3314" t="s">
        <v>4470</v>
      </c>
      <c r="B8" s="3314" t="s">
        <v>3188</v>
      </c>
      <c r="C8" s="3315" t="s">
        <v>4694</v>
      </c>
      <c r="D8" s="3314" t="s">
        <v>3664</v>
      </c>
      <c r="E8" s="3316">
        <v>204.64</v>
      </c>
      <c r="F8" s="3310">
        <v>191.85</v>
      </c>
      <c r="G8" s="3317">
        <f>F8/E8</f>
        <v>0.9375</v>
      </c>
      <c r="H8" s="3311">
        <v>44352</v>
      </c>
      <c r="I8" s="3311">
        <v>45081</v>
      </c>
      <c r="J8" s="3319">
        <f>(I8-J1)/365</f>
        <v>0.58356164383561648</v>
      </c>
      <c r="K8" s="3313">
        <v>639566.87</v>
      </c>
      <c r="L8" s="3316">
        <f t="shared" si="2"/>
        <v>8.56</v>
      </c>
      <c r="M8" s="3310">
        <f t="shared" si="1"/>
        <v>9.1300000000000008</v>
      </c>
      <c r="N8" s="3356">
        <f t="shared" ref="N8" ca="1" si="4">N7</f>
        <v>42333</v>
      </c>
      <c r="O8" s="3355">
        <f ca="1">ROUND(E8*N8/10000,2)</f>
        <v>866.3</v>
      </c>
    </row>
    <row r="9" spans="1:18" x14ac:dyDescent="0.2">
      <c r="A9" s="3314" t="s">
        <v>4470</v>
      </c>
      <c r="B9" s="3314" t="s">
        <v>3196</v>
      </c>
      <c r="C9" s="3315" t="s">
        <v>4695</v>
      </c>
      <c r="D9" s="3314" t="s">
        <v>3664</v>
      </c>
      <c r="E9" s="3316">
        <v>113.83</v>
      </c>
      <c r="F9" s="3310">
        <v>74.239999999999995</v>
      </c>
      <c r="G9" s="3320">
        <f t="shared" si="0"/>
        <v>0.65220065009224282</v>
      </c>
      <c r="H9" s="3311">
        <v>44287</v>
      </c>
      <c r="I9" s="3311">
        <v>45046</v>
      </c>
      <c r="J9" s="3319">
        <f>(I9-J1)/365</f>
        <v>0.48767123287671232</v>
      </c>
      <c r="K9" s="3313">
        <v>215391.18269230801</v>
      </c>
      <c r="L9" s="3316">
        <f t="shared" si="2"/>
        <v>5.18</v>
      </c>
      <c r="M9" s="3310">
        <f t="shared" si="1"/>
        <v>7.95</v>
      </c>
      <c r="N9" s="3356">
        <f t="shared" ref="N9" ca="1" si="5">N7</f>
        <v>42333</v>
      </c>
      <c r="O9" s="3355">
        <f ca="1">ROUND(E9*N9/10000,2)</f>
        <v>481.88</v>
      </c>
    </row>
    <row r="10" spans="1:18" x14ac:dyDescent="0.2">
      <c r="A10" s="3314" t="s">
        <v>4470</v>
      </c>
      <c r="B10" s="3314" t="s">
        <v>3198</v>
      </c>
      <c r="C10" s="3315" t="s">
        <v>4696</v>
      </c>
      <c r="D10" s="3314" t="s">
        <v>3664</v>
      </c>
      <c r="E10" s="3316">
        <v>147.19999999999999</v>
      </c>
      <c r="F10" s="3310">
        <v>138</v>
      </c>
      <c r="G10" s="3317">
        <f t="shared" si="0"/>
        <v>0.93750000000000011</v>
      </c>
      <c r="H10" s="3311">
        <v>44317</v>
      </c>
      <c r="I10" s="3311">
        <v>45046</v>
      </c>
      <c r="J10" s="3319">
        <f>(I10-J1)/365</f>
        <v>0.48767123287671232</v>
      </c>
      <c r="K10" s="3313">
        <v>490100.12</v>
      </c>
      <c r="L10" s="3316">
        <f t="shared" si="2"/>
        <v>9.1199999999999992</v>
      </c>
      <c r="M10" s="3310">
        <f t="shared" si="1"/>
        <v>9.73</v>
      </c>
      <c r="N10" s="3356">
        <f t="shared" ref="N10" ca="1" si="6">N9</f>
        <v>42333</v>
      </c>
      <c r="O10" s="3355">
        <f ca="1">ROUND(E10*N10/10000,2)</f>
        <v>623.14</v>
      </c>
    </row>
    <row r="11" spans="1:18" x14ac:dyDescent="0.2">
      <c r="A11" s="3314" t="s">
        <v>4470</v>
      </c>
      <c r="B11" s="3314" t="s">
        <v>3199</v>
      </c>
      <c r="C11" s="3315" t="s">
        <v>4697</v>
      </c>
      <c r="D11" s="3314" t="s">
        <v>3664</v>
      </c>
      <c r="E11" s="3316">
        <v>165.28</v>
      </c>
      <c r="F11" s="3310">
        <v>154.94999999999999</v>
      </c>
      <c r="G11" s="3317">
        <f t="shared" si="0"/>
        <v>0.93749999999999989</v>
      </c>
      <c r="H11" s="3311">
        <v>44193</v>
      </c>
      <c r="I11" s="3311">
        <v>45318</v>
      </c>
      <c r="J11" s="3312">
        <f>(I11-J1)/365</f>
        <v>1.2328767123287672</v>
      </c>
      <c r="K11" s="3313">
        <v>535024.40584415605</v>
      </c>
      <c r="L11" s="3316">
        <f t="shared" si="2"/>
        <v>8.8699999999999992</v>
      </c>
      <c r="M11" s="3310">
        <f t="shared" si="1"/>
        <v>9.4600000000000009</v>
      </c>
      <c r="N11" s="3356">
        <f t="shared" ref="N11" ca="1" si="7">N9</f>
        <v>42333</v>
      </c>
      <c r="O11" s="3355">
        <f ca="1">ROUND(E11*N11/10000,2)</f>
        <v>699.68</v>
      </c>
    </row>
    <row r="12" spans="1:18" x14ac:dyDescent="0.2">
      <c r="A12" s="3314" t="s">
        <v>4470</v>
      </c>
      <c r="B12" s="3314" t="s">
        <v>3200</v>
      </c>
      <c r="C12" s="3315" t="s">
        <v>4698</v>
      </c>
      <c r="D12" s="3314" t="s">
        <v>3664</v>
      </c>
      <c r="E12" s="3316">
        <v>169.42</v>
      </c>
      <c r="F12" s="3310">
        <v>158.83000000000001</v>
      </c>
      <c r="G12" s="3317">
        <f t="shared" si="0"/>
        <v>0.93749262188643623</v>
      </c>
      <c r="H12" s="3311">
        <v>44256</v>
      </c>
      <c r="I12" s="3311">
        <v>45382</v>
      </c>
      <c r="J12" s="3312">
        <f>(I12-J1)/365</f>
        <v>1.4082191780821918</v>
      </c>
      <c r="K12" s="3313">
        <v>546758.95779220795</v>
      </c>
      <c r="L12" s="3316">
        <f t="shared" si="2"/>
        <v>8.84</v>
      </c>
      <c r="M12" s="3310">
        <f t="shared" si="1"/>
        <v>9.43</v>
      </c>
      <c r="N12" s="3356">
        <f t="shared" ref="N12" ca="1" si="8">N11</f>
        <v>42333</v>
      </c>
      <c r="O12" s="3355">
        <f ca="1">ROUND(E12*N12/10000,2)</f>
        <v>717.21</v>
      </c>
    </row>
    <row r="13" spans="1:18" x14ac:dyDescent="0.2">
      <c r="A13" s="3314" t="s">
        <v>4470</v>
      </c>
      <c r="B13" s="3314" t="s">
        <v>3201</v>
      </c>
      <c r="C13" s="3315" t="s">
        <v>4699</v>
      </c>
      <c r="D13" s="3314" t="s">
        <v>3664</v>
      </c>
      <c r="E13" s="3316">
        <v>147.99</v>
      </c>
      <c r="F13" s="3310">
        <v>138.74</v>
      </c>
      <c r="G13" s="3317">
        <f t="shared" si="0"/>
        <v>0.93749577674167173</v>
      </c>
      <c r="H13" s="3311">
        <v>44287</v>
      </c>
      <c r="I13" s="3311">
        <v>45046</v>
      </c>
      <c r="J13" s="3319">
        <f>(I13-J1)/365</f>
        <v>0.48767123287671232</v>
      </c>
      <c r="K13" s="3313">
        <v>454482.73076923098</v>
      </c>
      <c r="L13" s="3316">
        <f t="shared" si="2"/>
        <v>8.41</v>
      </c>
      <c r="M13" s="3310">
        <f t="shared" si="1"/>
        <v>8.9700000000000006</v>
      </c>
      <c r="N13" s="3356">
        <f t="shared" ref="N13" ca="1" si="9">N11</f>
        <v>42333</v>
      </c>
      <c r="O13" s="3355">
        <f ca="1">ROUND(E13*N13/10000,2)</f>
        <v>626.49</v>
      </c>
    </row>
    <row r="14" spans="1:18" x14ac:dyDescent="0.2">
      <c r="A14" s="3314" t="s">
        <v>4470</v>
      </c>
      <c r="B14" s="3314" t="s">
        <v>3206</v>
      </c>
      <c r="C14" s="3315" t="s">
        <v>4700</v>
      </c>
      <c r="D14" s="3314" t="s">
        <v>3664</v>
      </c>
      <c r="E14" s="3316">
        <v>148.62</v>
      </c>
      <c r="F14" s="3310">
        <v>139.33000000000001</v>
      </c>
      <c r="G14" s="3317">
        <f t="shared" si="0"/>
        <v>0.93749158928811738</v>
      </c>
      <c r="H14" s="3311">
        <v>44301</v>
      </c>
      <c r="I14" s="3311">
        <v>46126</v>
      </c>
      <c r="J14" s="3312">
        <f>(I14-J1)/365</f>
        <v>3.4465753424657533</v>
      </c>
      <c r="K14" s="3313">
        <v>518331.45199999999</v>
      </c>
      <c r="L14" s="3316">
        <f t="shared" si="2"/>
        <v>9.56</v>
      </c>
      <c r="M14" s="3310">
        <f t="shared" si="1"/>
        <v>10.19</v>
      </c>
      <c r="N14" s="3356">
        <f t="shared" ref="N14" ca="1" si="10">N13</f>
        <v>42333</v>
      </c>
      <c r="O14" s="3355">
        <f ca="1">ROUND(E14*N14/10000,2)</f>
        <v>629.15</v>
      </c>
    </row>
    <row r="15" spans="1:18" x14ac:dyDescent="0.2">
      <c r="A15" s="3314" t="s">
        <v>4470</v>
      </c>
      <c r="B15" s="3314" t="s">
        <v>4472</v>
      </c>
      <c r="C15" s="3315" t="s">
        <v>4701</v>
      </c>
      <c r="D15" s="3314" t="s">
        <v>3664</v>
      </c>
      <c r="E15" s="3316">
        <v>188.2</v>
      </c>
      <c r="F15" s="3310">
        <v>0</v>
      </c>
      <c r="G15" s="3317">
        <f>F15/E15</f>
        <v>0</v>
      </c>
      <c r="H15" s="3314" t="s">
        <v>4702</v>
      </c>
      <c r="I15" s="3314" t="s">
        <v>4702</v>
      </c>
      <c r="J15" s="3319" t="s">
        <v>4702</v>
      </c>
      <c r="K15" s="3313" t="s">
        <v>4703</v>
      </c>
      <c r="L15" s="3316">
        <f t="shared" si="2"/>
        <v>0</v>
      </c>
      <c r="M15" s="3310">
        <v>0</v>
      </c>
      <c r="N15" s="3356">
        <f t="shared" ref="N15" ca="1" si="11">N13</f>
        <v>42333</v>
      </c>
      <c r="O15" s="3355">
        <f ca="1">ROUND(E15*N15/10000,2)</f>
        <v>796.71</v>
      </c>
    </row>
    <row r="16" spans="1:18" x14ac:dyDescent="0.2">
      <c r="A16" s="3314" t="s">
        <v>4470</v>
      </c>
      <c r="B16" s="3314" t="s">
        <v>3208</v>
      </c>
      <c r="C16" s="3315" t="s">
        <v>4800</v>
      </c>
      <c r="D16" s="3314" t="s">
        <v>3664</v>
      </c>
      <c r="E16" s="3316">
        <v>154.85</v>
      </c>
      <c r="F16" s="3454">
        <f>'租赁台账-今典底稿'!H85+'租赁台账-今典底稿'!H86+'租赁台账-今典底稿'!H87+'租赁台账-今典底稿'!H88</f>
        <v>376</v>
      </c>
      <c r="G16" s="3456">
        <f>F16/(E16+E17)</f>
        <v>0.35196435424837824</v>
      </c>
      <c r="H16" s="3311">
        <v>44440</v>
      </c>
      <c r="I16" s="3311">
        <v>45169</v>
      </c>
      <c r="J16" s="3319">
        <f>(I16-J1)/365</f>
        <v>0.8246575342465754</v>
      </c>
      <c r="K16" s="3313">
        <v>310087.58</v>
      </c>
      <c r="L16" s="3316">
        <f t="shared" si="2"/>
        <v>5.49</v>
      </c>
      <c r="M16" s="3310">
        <f>ROUND(K16/'租赁台账-今典底稿'!H85/365,2)</f>
        <v>4.1900000000000004</v>
      </c>
      <c r="N16" s="3356">
        <f t="shared" ref="N16" ca="1" si="12">N15</f>
        <v>42333</v>
      </c>
      <c r="O16" s="3355">
        <f ca="1">ROUND(E16*N16/10000,2)</f>
        <v>655.53</v>
      </c>
    </row>
    <row r="17" spans="1:15" x14ac:dyDescent="0.2">
      <c r="A17" s="3314" t="s">
        <v>4470</v>
      </c>
      <c r="B17" s="3314" t="s">
        <v>3208</v>
      </c>
      <c r="C17" s="3315"/>
      <c r="D17" s="3314" t="s">
        <v>3665</v>
      </c>
      <c r="E17" s="3316">
        <v>913.44</v>
      </c>
      <c r="F17" s="3455"/>
      <c r="G17" s="3457"/>
      <c r="H17" s="3311">
        <v>44470</v>
      </c>
      <c r="I17" s="3311">
        <v>45199</v>
      </c>
      <c r="J17" s="3319">
        <f>(I17-J1)/365</f>
        <v>0.9068493150684932</v>
      </c>
      <c r="K17" s="3313">
        <f>'租赁台账-今典底稿'!K86+'租赁台账-今典底稿'!K87+'租赁台账-今典底稿'!K88</f>
        <v>264261.83999999997</v>
      </c>
      <c r="L17" s="3316">
        <f t="shared" si="2"/>
        <v>0.79</v>
      </c>
      <c r="M17" s="3310">
        <f>K17/('租赁台账-今典底稿'!H86+'租赁台账-今典底稿'!H87+'租赁台账-今典底稿'!H88)/365</f>
        <v>4.1850002375484987</v>
      </c>
      <c r="N17" s="3356">
        <f ca="1">M83</f>
        <v>21166</v>
      </c>
      <c r="O17" s="3355">
        <f ca="1">ROUND(E17*N17/10000,2)</f>
        <v>1933.39</v>
      </c>
    </row>
    <row r="18" spans="1:15" x14ac:dyDescent="0.2">
      <c r="A18" s="3321" t="s">
        <v>4781</v>
      </c>
      <c r="B18" s="3321"/>
      <c r="C18" s="3321"/>
      <c r="D18" s="3321"/>
      <c r="E18" s="3322">
        <f>SUM(E3:E17)</f>
        <v>3548.88</v>
      </c>
      <c r="F18" s="3322">
        <f>SUM(F3:F17)</f>
        <v>2218.5099999999998</v>
      </c>
      <c r="G18" s="3323">
        <f t="shared" si="0"/>
        <v>0.62512961835846792</v>
      </c>
      <c r="H18" s="3321"/>
      <c r="I18" s="3321"/>
      <c r="J18" s="3321"/>
      <c r="K18" s="3321"/>
      <c r="L18" s="3321">
        <f>ROUND((L3+L5+L6+L7+L8+L9+L10+L11+L12+L13+L14+L16)/12,2)</f>
        <v>8.0399999999999991</v>
      </c>
      <c r="M18" s="3321">
        <f>ROUND(SUM(M3:M16)/13,2)</f>
        <v>8.82</v>
      </c>
      <c r="N18" s="3355"/>
      <c r="O18" s="3355">
        <f ca="1">SUM(O3:O17)</f>
        <v>13090.28</v>
      </c>
    </row>
    <row r="19" spans="1:15" ht="28" x14ac:dyDescent="0.2">
      <c r="A19" s="3308" t="s">
        <v>4676</v>
      </c>
      <c r="B19" s="3308" t="s">
        <v>4677</v>
      </c>
      <c r="C19" s="3309" t="s">
        <v>4678</v>
      </c>
      <c r="D19" s="3308" t="s">
        <v>4447</v>
      </c>
      <c r="E19" s="3308" t="s">
        <v>4679</v>
      </c>
      <c r="F19" s="3309" t="s">
        <v>4680</v>
      </c>
      <c r="G19" s="3309" t="s">
        <v>4681</v>
      </c>
      <c r="H19" s="3449" t="s">
        <v>4682</v>
      </c>
      <c r="I19" s="3449"/>
      <c r="J19" s="3308" t="s">
        <v>4683</v>
      </c>
      <c r="K19" s="3308" t="s">
        <v>4684</v>
      </c>
      <c r="L19" s="3308" t="s">
        <v>4685</v>
      </c>
      <c r="M19" s="3309" t="s">
        <v>4686</v>
      </c>
      <c r="N19" s="3355" t="s">
        <v>4721</v>
      </c>
      <c r="O19" s="3355" t="s">
        <v>4722</v>
      </c>
    </row>
    <row r="20" spans="1:15" x14ac:dyDescent="0.2">
      <c r="A20" s="3314" t="s">
        <v>4466</v>
      </c>
      <c r="B20" s="3314" t="s">
        <v>3623</v>
      </c>
      <c r="C20" s="3324">
        <v>1</v>
      </c>
      <c r="D20" s="3316" t="s">
        <v>3663</v>
      </c>
      <c r="E20" s="3316">
        <v>59.26</v>
      </c>
      <c r="F20" s="3464">
        <v>107.72</v>
      </c>
      <c r="G20" s="3464">
        <f>F20/(E21+E20)</f>
        <v>0.92487335794625225</v>
      </c>
      <c r="H20" s="3467">
        <v>44477</v>
      </c>
      <c r="I20" s="3467">
        <v>45572</v>
      </c>
      <c r="J20" s="3472">
        <f>(I20-$J1)/365</f>
        <v>1.9287671232876713</v>
      </c>
      <c r="K20" s="3458">
        <f>'租赁台账-今典底稿'!K4</f>
        <v>492127.8</v>
      </c>
      <c r="L20" s="3460">
        <f>ROUND(K20/(E20+E21)/365,2)</f>
        <v>11.58</v>
      </c>
      <c r="M20" s="3462">
        <f>ROUND(K20/F20/365,2)</f>
        <v>12.52</v>
      </c>
      <c r="N20" s="3355">
        <f ca="1">M80</f>
        <v>52916</v>
      </c>
      <c r="O20" s="3355">
        <f ca="1">ROUND(E20*N20/10000,4)</f>
        <v>313.58019999999999</v>
      </c>
    </row>
    <row r="21" spans="1:15" x14ac:dyDescent="0.2">
      <c r="A21" s="3314" t="s">
        <v>4466</v>
      </c>
      <c r="B21" s="3314" t="s">
        <v>3631</v>
      </c>
      <c r="C21" s="3324">
        <v>2</v>
      </c>
      <c r="D21" s="3316" t="s">
        <v>3663</v>
      </c>
      <c r="E21" s="3316">
        <v>57.21</v>
      </c>
      <c r="F21" s="3465"/>
      <c r="G21" s="3465"/>
      <c r="H21" s="3468"/>
      <c r="I21" s="3468"/>
      <c r="J21" s="3473"/>
      <c r="K21" s="3459"/>
      <c r="L21" s="3461"/>
      <c r="M21" s="3463"/>
      <c r="N21" s="3355">
        <f ca="1">N20</f>
        <v>52916</v>
      </c>
      <c r="O21" s="3355">
        <f ca="1">ROUND(E21*N21/10000,4)</f>
        <v>302.73239999999998</v>
      </c>
    </row>
    <row r="22" spans="1:15" x14ac:dyDescent="0.2">
      <c r="A22" s="3314" t="s">
        <v>4466</v>
      </c>
      <c r="B22" s="3314" t="s">
        <v>3641</v>
      </c>
      <c r="C22" s="3324">
        <v>3</v>
      </c>
      <c r="D22" s="3316" t="s">
        <v>3663</v>
      </c>
      <c r="E22" s="3316">
        <v>51.67</v>
      </c>
      <c r="F22" s="3464">
        <f>'租赁台账-今典底稿'!H5</f>
        <v>995.27</v>
      </c>
      <c r="G22" s="3464">
        <f>(F22+F24)/(E22+E23)</f>
        <v>0.92595643068750633</v>
      </c>
      <c r="H22" s="3467">
        <v>44166</v>
      </c>
      <c r="I22" s="3467">
        <v>44957</v>
      </c>
      <c r="J22" s="3469">
        <f>(I22-J1)/365</f>
        <v>0.24383561643835616</v>
      </c>
      <c r="K22" s="3458">
        <f>'租赁台账-今典底稿'!K5</f>
        <v>2249801.4248926998</v>
      </c>
      <c r="L22" s="3460">
        <f>ROUND((K24+K22)/(E23+E22)/365,2)</f>
        <v>5.8</v>
      </c>
      <c r="M22" s="3462">
        <f>ROUND(K22/F22/365,2)</f>
        <v>6.19</v>
      </c>
      <c r="N22" s="3355">
        <f ca="1">N21</f>
        <v>52916</v>
      </c>
      <c r="O22" s="3355">
        <f ca="1">ROUND(E22*N22/10000,4)</f>
        <v>273.41699999999997</v>
      </c>
    </row>
    <row r="23" spans="1:15" x14ac:dyDescent="0.2">
      <c r="A23" s="3474" t="s">
        <v>4466</v>
      </c>
      <c r="B23" s="3474" t="s">
        <v>3646</v>
      </c>
      <c r="C23" s="3324">
        <v>5</v>
      </c>
      <c r="D23" s="3360" t="s">
        <v>3664</v>
      </c>
      <c r="E23" s="3477">
        <v>1514.57</v>
      </c>
      <c r="F23" s="3465"/>
      <c r="G23" s="3466"/>
      <c r="H23" s="3468"/>
      <c r="I23" s="3468"/>
      <c r="J23" s="3470"/>
      <c r="K23" s="3459"/>
      <c r="L23" s="3471"/>
      <c r="M23" s="3463"/>
      <c r="N23" s="3446">
        <f ca="1">M81</f>
        <v>31750</v>
      </c>
      <c r="O23" s="3446">
        <f ca="1">ROUND(E23*N23/10000,4)</f>
        <v>4808.7597999999998</v>
      </c>
    </row>
    <row r="24" spans="1:15" x14ac:dyDescent="0.2">
      <c r="A24" s="3476"/>
      <c r="B24" s="3476"/>
      <c r="C24" s="3324">
        <v>5</v>
      </c>
      <c r="D24" s="3360" t="s">
        <v>3664</v>
      </c>
      <c r="E24" s="3478"/>
      <c r="F24" s="3310">
        <f>'租赁台账-今典底稿'!H6</f>
        <v>455</v>
      </c>
      <c r="G24" s="3465"/>
      <c r="H24" s="3311">
        <v>44166</v>
      </c>
      <c r="I24" s="3311">
        <v>44957</v>
      </c>
      <c r="J24" s="3325">
        <f>(I24-J1)/365</f>
        <v>0.24383561643835616</v>
      </c>
      <c r="K24" s="3313">
        <f>'租赁台账-今典底稿'!K6</f>
        <v>1066859.6866359401</v>
      </c>
      <c r="L24" s="3461"/>
      <c r="M24" s="3324">
        <f>ROUND(K24/F24/365,2)</f>
        <v>6.42</v>
      </c>
      <c r="N24" s="3447"/>
      <c r="O24" s="3447"/>
    </row>
    <row r="25" spans="1:15" x14ac:dyDescent="0.2">
      <c r="A25" s="3314" t="s">
        <v>4466</v>
      </c>
      <c r="B25" s="3314" t="s">
        <v>3651</v>
      </c>
      <c r="C25" s="3324">
        <v>6</v>
      </c>
      <c r="D25" s="3316" t="s">
        <v>3663</v>
      </c>
      <c r="E25" s="3316">
        <v>42.57</v>
      </c>
      <c r="F25" s="3464">
        <f>'租赁台账-今典底稿'!H7</f>
        <v>82.23</v>
      </c>
      <c r="G25" s="3464">
        <f>F25/(E25+E26)</f>
        <v>0.92486784388707688</v>
      </c>
      <c r="H25" s="3467">
        <v>44150</v>
      </c>
      <c r="I25" s="3467">
        <v>45274</v>
      </c>
      <c r="J25" s="3472">
        <f>(I25-J1)/365</f>
        <v>1.1123287671232878</v>
      </c>
      <c r="K25" s="3458">
        <f>'租赁台账-今典底稿'!K7</f>
        <v>285912.10389610397</v>
      </c>
      <c r="L25" s="3460">
        <f>ROUND(K25/(E25+E26)/365,2)</f>
        <v>8.81</v>
      </c>
      <c r="M25" s="3462">
        <f>ROUND(K25/F25/365,2)</f>
        <v>9.5299999999999994</v>
      </c>
      <c r="N25" s="3355">
        <f ca="1">N20</f>
        <v>52916</v>
      </c>
      <c r="O25" s="3355">
        <f ca="1">ROUND(E25*N25/10000,4)</f>
        <v>225.26339999999999</v>
      </c>
    </row>
    <row r="26" spans="1:15" x14ac:dyDescent="0.2">
      <c r="A26" s="3314" t="s">
        <v>4466</v>
      </c>
      <c r="B26" s="3314" t="s">
        <v>3660</v>
      </c>
      <c r="C26" s="3324">
        <v>8</v>
      </c>
      <c r="D26" s="3316" t="s">
        <v>3663</v>
      </c>
      <c r="E26" s="3316">
        <v>46.34</v>
      </c>
      <c r="F26" s="3465"/>
      <c r="G26" s="3465"/>
      <c r="H26" s="3468"/>
      <c r="I26" s="3468"/>
      <c r="J26" s="3473"/>
      <c r="K26" s="3459"/>
      <c r="L26" s="3461"/>
      <c r="M26" s="3463"/>
      <c r="N26" s="3355">
        <f ca="1">N20</f>
        <v>52916</v>
      </c>
      <c r="O26" s="3355">
        <f ca="1">ROUND(E26*N26/10000,4)</f>
        <v>245.21270000000001</v>
      </c>
    </row>
    <row r="27" spans="1:15" x14ac:dyDescent="0.2">
      <c r="A27" s="3474" t="s">
        <v>4466</v>
      </c>
      <c r="B27" s="3474" t="s">
        <v>3656</v>
      </c>
      <c r="C27" s="3324">
        <v>7</v>
      </c>
      <c r="D27" s="3477" t="s">
        <v>3664</v>
      </c>
      <c r="E27" s="3477">
        <v>1245.71</v>
      </c>
      <c r="F27" s="3310">
        <f>'租赁台账-今典底稿'!H8</f>
        <v>402.06</v>
      </c>
      <c r="G27" s="3454">
        <f>(F27+F28)/E27</f>
        <v>0.84657745382151539</v>
      </c>
      <c r="H27" s="3311">
        <v>44540</v>
      </c>
      <c r="I27" s="3311">
        <v>45269</v>
      </c>
      <c r="J27" s="3326">
        <f>(I27-J1)/365</f>
        <v>1.0986301369863014</v>
      </c>
      <c r="K27" s="3313">
        <f>'租赁台账-今典底稿'!K8</f>
        <v>1058814.96</v>
      </c>
      <c r="L27" s="3460">
        <f>ROUND((K27+K28)/E27/365,2)</f>
        <v>5.81</v>
      </c>
      <c r="M27" s="3324">
        <f>ROUND(K27/F27/365,2)</f>
        <v>7.22</v>
      </c>
      <c r="N27" s="3446">
        <f ca="1">N23</f>
        <v>31750</v>
      </c>
      <c r="O27" s="3446">
        <f ca="1">ROUND(E27*N27/10000,4)</f>
        <v>3955.1293000000001</v>
      </c>
    </row>
    <row r="28" spans="1:15" x14ac:dyDescent="0.2">
      <c r="A28" s="3476"/>
      <c r="B28" s="3476"/>
      <c r="C28" s="3324" t="s">
        <v>4705</v>
      </c>
      <c r="D28" s="3478"/>
      <c r="E28" s="3478"/>
      <c r="F28" s="3310">
        <f>'租赁台账-今典底稿'!H9</f>
        <v>652.53</v>
      </c>
      <c r="G28" s="3455"/>
      <c r="H28" s="3311">
        <v>44166</v>
      </c>
      <c r="I28" s="3311">
        <v>44957</v>
      </c>
      <c r="J28" s="3325">
        <f>(I28-J1)/365</f>
        <v>0.24383561643835616</v>
      </c>
      <c r="K28" s="3313">
        <f>'租赁台账-今典底稿'!K9</f>
        <v>1583798.5622119801</v>
      </c>
      <c r="L28" s="3461"/>
      <c r="M28" s="3324">
        <f>ROUND(K28/F28/365,2)</f>
        <v>6.65</v>
      </c>
      <c r="N28" s="3447"/>
      <c r="O28" s="3447"/>
    </row>
    <row r="29" spans="1:15" x14ac:dyDescent="0.2">
      <c r="A29" s="3314" t="s">
        <v>4466</v>
      </c>
      <c r="B29" s="3314" t="s">
        <v>3661</v>
      </c>
      <c r="C29" s="3324">
        <v>9</v>
      </c>
      <c r="D29" s="3316" t="s">
        <v>3663</v>
      </c>
      <c r="E29" s="3316">
        <v>10.93</v>
      </c>
      <c r="F29" s="3310">
        <f>'租赁台账-今典底稿'!H10</f>
        <v>10.11</v>
      </c>
      <c r="G29" s="3310">
        <f>F29/E29</f>
        <v>0.92497712717291858</v>
      </c>
      <c r="H29" s="3311">
        <v>44666</v>
      </c>
      <c r="I29" s="3311">
        <v>45030</v>
      </c>
      <c r="J29" s="3325">
        <f>(I29-J1)/365</f>
        <v>0.44383561643835617</v>
      </c>
      <c r="K29" s="3313">
        <f>'租赁台账-今典底稿'!K10</f>
        <v>91257.4</v>
      </c>
      <c r="L29" s="3344">
        <f>ROUND(K29/E29/365,2)</f>
        <v>22.87</v>
      </c>
      <c r="M29" s="3324">
        <f>ROUND(K29/F29/365,2)</f>
        <v>24.73</v>
      </c>
      <c r="N29" s="3355">
        <f ca="1">N20</f>
        <v>52916</v>
      </c>
      <c r="O29" s="3355">
        <f ca="1">ROUND(E29*N29/10000,4)</f>
        <v>57.837200000000003</v>
      </c>
    </row>
    <row r="30" spans="1:15" x14ac:dyDescent="0.2">
      <c r="A30" s="3314" t="s">
        <v>4466</v>
      </c>
      <c r="B30" s="3314" t="s">
        <v>3624</v>
      </c>
      <c r="C30" s="3324">
        <v>10</v>
      </c>
      <c r="D30" s="3316" t="s">
        <v>3663</v>
      </c>
      <c r="E30" s="3316">
        <v>132.02000000000001</v>
      </c>
      <c r="F30" s="3310">
        <v>0</v>
      </c>
      <c r="G30" s="3310">
        <f t="shared" ref="G30:G64" si="13">F30/E30</f>
        <v>0</v>
      </c>
      <c r="H30" s="3311" t="s">
        <v>4702</v>
      </c>
      <c r="I30" s="3311" t="s">
        <v>4702</v>
      </c>
      <c r="J30" s="3325" t="s">
        <v>4702</v>
      </c>
      <c r="K30" s="3313">
        <v>0</v>
      </c>
      <c r="L30" s="3327">
        <f t="shared" ref="L30:L63" si="14">ROUND(K30/E30/365,2)</f>
        <v>0</v>
      </c>
      <c r="M30" s="3324">
        <v>0</v>
      </c>
      <c r="N30" s="3355">
        <f t="shared" ref="N30:N35" ca="1" si="15">N29</f>
        <v>52916</v>
      </c>
      <c r="O30" s="3355">
        <f ca="1">ROUND(E30*N30/10000,4)</f>
        <v>698.59699999999998</v>
      </c>
    </row>
    <row r="31" spans="1:15" x14ac:dyDescent="0.2">
      <c r="A31" s="3314" t="s">
        <v>4466</v>
      </c>
      <c r="B31" s="3314" t="s">
        <v>3625</v>
      </c>
      <c r="C31" s="3324">
        <v>11</v>
      </c>
      <c r="D31" s="3316" t="s">
        <v>3663</v>
      </c>
      <c r="E31" s="3316">
        <v>44.26</v>
      </c>
      <c r="F31" s="3464">
        <f>'租赁台账-今典底稿'!H11</f>
        <v>152.09</v>
      </c>
      <c r="G31" s="3464">
        <f>F31/(E31+E32)</f>
        <v>0.9249528674816031</v>
      </c>
      <c r="H31" s="3467">
        <v>43698</v>
      </c>
      <c r="I31" s="3467">
        <v>45524</v>
      </c>
      <c r="J31" s="3472">
        <f>(I31-J1)/365</f>
        <v>1.7972602739726027</v>
      </c>
      <c r="K31" s="3458">
        <f>'租赁台账-今典底稿'!K11</f>
        <v>700572.17599999998</v>
      </c>
      <c r="L31" s="3460">
        <f>ROUND(K31/(E31+E32)/365,2)</f>
        <v>11.67</v>
      </c>
      <c r="M31" s="3462">
        <f t="shared" ref="M31:M63" si="16">ROUND(K31/F31/365,2)</f>
        <v>12.62</v>
      </c>
      <c r="N31" s="3355">
        <f t="shared" ca="1" si="15"/>
        <v>52916</v>
      </c>
      <c r="O31" s="3355">
        <f ca="1">ROUND(E31*N31/10000,4)</f>
        <v>234.2062</v>
      </c>
    </row>
    <row r="32" spans="1:15" x14ac:dyDescent="0.2">
      <c r="A32" s="3314" t="s">
        <v>4466</v>
      </c>
      <c r="B32" s="3314" t="s">
        <v>3628</v>
      </c>
      <c r="C32" s="3324">
        <v>17</v>
      </c>
      <c r="D32" s="3316" t="s">
        <v>3663</v>
      </c>
      <c r="E32" s="3316">
        <v>120.17</v>
      </c>
      <c r="F32" s="3465"/>
      <c r="G32" s="3465"/>
      <c r="H32" s="3468"/>
      <c r="I32" s="3468"/>
      <c r="J32" s="3473"/>
      <c r="K32" s="3459"/>
      <c r="L32" s="3461"/>
      <c r="M32" s="3463"/>
      <c r="N32" s="3355">
        <f t="shared" ca="1" si="15"/>
        <v>52916</v>
      </c>
      <c r="O32" s="3355">
        <f ca="1">ROUND(E32*N32/10000,4)</f>
        <v>635.89160000000004</v>
      </c>
    </row>
    <row r="33" spans="1:15" x14ac:dyDescent="0.2">
      <c r="A33" s="3314" t="s">
        <v>4466</v>
      </c>
      <c r="B33" s="3314" t="s">
        <v>3626</v>
      </c>
      <c r="C33" s="3324">
        <v>12</v>
      </c>
      <c r="D33" s="3316" t="s">
        <v>3663</v>
      </c>
      <c r="E33" s="3316">
        <v>46.9</v>
      </c>
      <c r="F33" s="3310">
        <v>0</v>
      </c>
      <c r="G33" s="3310">
        <f t="shared" si="13"/>
        <v>0</v>
      </c>
      <c r="H33" s="3311" t="s">
        <v>4702</v>
      </c>
      <c r="I33" s="3311" t="s">
        <v>4702</v>
      </c>
      <c r="J33" s="3325" t="s">
        <v>4702</v>
      </c>
      <c r="K33" s="3313">
        <v>0</v>
      </c>
      <c r="L33" s="3327">
        <f t="shared" si="14"/>
        <v>0</v>
      </c>
      <c r="M33" s="3324">
        <v>0</v>
      </c>
      <c r="N33" s="3355">
        <f t="shared" ca="1" si="15"/>
        <v>52916</v>
      </c>
      <c r="O33" s="3355">
        <f ca="1">ROUND(E33*N33/10000,4)</f>
        <v>248.17599999999999</v>
      </c>
    </row>
    <row r="34" spans="1:15" x14ac:dyDescent="0.2">
      <c r="A34" s="3314" t="s">
        <v>4466</v>
      </c>
      <c r="B34" s="3314" t="s">
        <v>3627</v>
      </c>
      <c r="C34" s="3324">
        <v>15</v>
      </c>
      <c r="D34" s="3316" t="s">
        <v>3663</v>
      </c>
      <c r="E34" s="3316">
        <v>45.15</v>
      </c>
      <c r="F34" s="3310">
        <f>'租赁台账-今典底稿'!H13</f>
        <v>41.76</v>
      </c>
      <c r="G34" s="3310">
        <f t="shared" si="13"/>
        <v>0.9249169435215947</v>
      </c>
      <c r="H34" s="3311">
        <v>44175</v>
      </c>
      <c r="I34" s="3311">
        <v>45269</v>
      </c>
      <c r="J34" s="3326">
        <f>(I34-J1)/365</f>
        <v>1.0986301369863014</v>
      </c>
      <c r="K34" s="3313">
        <f>'租赁台账-今典底稿'!K13</f>
        <v>191596.97333333301</v>
      </c>
      <c r="L34" s="3327">
        <f t="shared" si="14"/>
        <v>11.63</v>
      </c>
      <c r="M34" s="3324">
        <f t="shared" si="16"/>
        <v>12.57</v>
      </c>
      <c r="N34" s="3355">
        <f t="shared" ca="1" si="15"/>
        <v>52916</v>
      </c>
      <c r="O34" s="3355">
        <f ca="1">ROUND(E34*N34/10000,4)</f>
        <v>238.91569999999999</v>
      </c>
    </row>
    <row r="35" spans="1:15" x14ac:dyDescent="0.2">
      <c r="A35" s="3314" t="s">
        <v>4466</v>
      </c>
      <c r="B35" s="3314" t="s">
        <v>3629</v>
      </c>
      <c r="C35" s="3324">
        <v>18</v>
      </c>
      <c r="D35" s="3316" t="s">
        <v>3663</v>
      </c>
      <c r="E35" s="3316">
        <v>97.45</v>
      </c>
      <c r="F35" s="3310">
        <f>'租赁台账-今典底稿'!H14</f>
        <v>90.17</v>
      </c>
      <c r="G35" s="3310">
        <f t="shared" si="13"/>
        <v>0.92529502308876344</v>
      </c>
      <c r="H35" s="3311">
        <v>44119</v>
      </c>
      <c r="I35" s="3311">
        <v>44848</v>
      </c>
      <c r="J35" s="3325">
        <f>(I35-J1)/365</f>
        <v>-5.4794520547945202E-2</v>
      </c>
      <c r="K35" s="3313">
        <f>'租赁台账-今典底稿'!K14</f>
        <v>307192.84000000003</v>
      </c>
      <c r="L35" s="3327">
        <f t="shared" si="14"/>
        <v>8.64</v>
      </c>
      <c r="M35" s="3324">
        <f t="shared" si="16"/>
        <v>9.33</v>
      </c>
      <c r="N35" s="3355">
        <f t="shared" ca="1" si="15"/>
        <v>52916</v>
      </c>
      <c r="O35" s="3355">
        <f ca="1">ROUND(E35*N35/10000,4)</f>
        <v>515.66639999999995</v>
      </c>
    </row>
    <row r="36" spans="1:15" x14ac:dyDescent="0.2">
      <c r="A36" s="3474" t="s">
        <v>4466</v>
      </c>
      <c r="B36" s="3474" t="s">
        <v>3630</v>
      </c>
      <c r="C36" s="3324">
        <v>19</v>
      </c>
      <c r="D36" s="3477" t="s">
        <v>3664</v>
      </c>
      <c r="E36" s="3477">
        <v>1786.53</v>
      </c>
      <c r="F36" s="3310">
        <f>'租赁台账-今典底稿'!H15</f>
        <v>65.25</v>
      </c>
      <c r="G36" s="3454">
        <f>(F36+F37+F38)/E36</f>
        <v>0.68158385249617981</v>
      </c>
      <c r="H36" s="3311">
        <v>44183</v>
      </c>
      <c r="I36" s="3311">
        <v>45308</v>
      </c>
      <c r="J36" s="3326">
        <f>(I36-J1)/365</f>
        <v>1.2054794520547945</v>
      </c>
      <c r="K36" s="3313">
        <f>'租赁台账-今典底稿'!K15</f>
        <v>247274.01623376599</v>
      </c>
      <c r="L36" s="3479">
        <f>ROUND((K36+K37+K38)/E36/365,2)</f>
        <v>5.14</v>
      </c>
      <c r="M36" s="3324">
        <f t="shared" si="16"/>
        <v>10.38</v>
      </c>
      <c r="N36" s="3446">
        <f ca="1">N23</f>
        <v>31750</v>
      </c>
      <c r="O36" s="3446">
        <f ca="1">ROUND(E36*N36/10000,4)</f>
        <v>5672.2327999999998</v>
      </c>
    </row>
    <row r="37" spans="1:15" x14ac:dyDescent="0.2">
      <c r="A37" s="3475"/>
      <c r="B37" s="3475"/>
      <c r="C37" s="3324" t="s">
        <v>4706</v>
      </c>
      <c r="D37" s="3484"/>
      <c r="E37" s="3484"/>
      <c r="F37" s="3330">
        <f>'租赁台账-今典底稿'!H17</f>
        <v>1135.42</v>
      </c>
      <c r="G37" s="3485"/>
      <c r="H37" s="3311">
        <v>44494</v>
      </c>
      <c r="I37" s="3311">
        <v>45223</v>
      </c>
      <c r="J37" s="3325">
        <f>(I37-J1)/365</f>
        <v>0.9726027397260274</v>
      </c>
      <c r="K37" s="3313">
        <f>'租赁台账-今典底稿'!K17</f>
        <v>2990100.18</v>
      </c>
      <c r="L37" s="3480"/>
      <c r="M37" s="3324">
        <f t="shared" si="16"/>
        <v>7.21</v>
      </c>
      <c r="N37" s="3448"/>
      <c r="O37" s="3448"/>
    </row>
    <row r="38" spans="1:15" x14ac:dyDescent="0.2">
      <c r="A38" s="3476"/>
      <c r="B38" s="3476"/>
      <c r="C38" s="3324" t="s">
        <v>4707</v>
      </c>
      <c r="D38" s="3478"/>
      <c r="E38" s="3478"/>
      <c r="F38" s="3310">
        <f>'租赁台账-今典底稿'!H16</f>
        <v>17</v>
      </c>
      <c r="G38" s="3455"/>
      <c r="H38" s="3311">
        <v>44256</v>
      </c>
      <c r="I38" s="3311">
        <v>44985</v>
      </c>
      <c r="J38" s="3325">
        <f>(I38-J1)/365</f>
        <v>0.32054794520547947</v>
      </c>
      <c r="K38" s="3313">
        <f>'租赁台账-今典底稿'!K16</f>
        <v>112263.98</v>
      </c>
      <c r="L38" s="3481"/>
      <c r="M38" s="3324">
        <f t="shared" si="16"/>
        <v>18.09</v>
      </c>
      <c r="N38" s="3447"/>
      <c r="O38" s="3447"/>
    </row>
    <row r="39" spans="1:15" x14ac:dyDescent="0.2">
      <c r="A39" s="3474" t="s">
        <v>4466</v>
      </c>
      <c r="B39" s="3474" t="s">
        <v>3632</v>
      </c>
      <c r="C39" s="3324">
        <v>20</v>
      </c>
      <c r="D39" s="3482" t="s">
        <v>3663</v>
      </c>
      <c r="E39" s="3482">
        <v>87.03</v>
      </c>
      <c r="F39" s="3310">
        <f>'租赁台账-今典底稿'!H18</f>
        <v>80.5</v>
      </c>
      <c r="G39" s="3464">
        <f t="shared" si="13"/>
        <v>0.92496840170056305</v>
      </c>
      <c r="H39" s="3311">
        <v>44119</v>
      </c>
      <c r="I39" s="3311">
        <v>45213</v>
      </c>
      <c r="J39" s="3325">
        <f>(I39-J1)/365</f>
        <v>0.9452054794520548</v>
      </c>
      <c r="K39" s="3313">
        <f>'租赁台账-今典底稿'!K18</f>
        <v>305871.84000000003</v>
      </c>
      <c r="L39" s="3460">
        <f>ROUND((K39+K40)/E39/365,2)</f>
        <v>11.51</v>
      </c>
      <c r="M39" s="3324">
        <f t="shared" si="16"/>
        <v>10.41</v>
      </c>
      <c r="N39" s="3446">
        <f ca="1">N35</f>
        <v>52916</v>
      </c>
      <c r="O39" s="3446">
        <f ca="1">ROUND(E39*N39/10000,4)</f>
        <v>460.52789999999999</v>
      </c>
    </row>
    <row r="40" spans="1:15" x14ac:dyDescent="0.2">
      <c r="A40" s="3476"/>
      <c r="B40" s="3476"/>
      <c r="C40" s="3324" t="s">
        <v>4708</v>
      </c>
      <c r="D40" s="3483"/>
      <c r="E40" s="3483"/>
      <c r="F40" s="3310">
        <f>'租赁台账-今典底稿'!H19</f>
        <v>8.7200000000000006</v>
      </c>
      <c r="G40" s="3465"/>
      <c r="H40" s="3311">
        <v>44287</v>
      </c>
      <c r="I40" s="3311">
        <v>45016</v>
      </c>
      <c r="J40" s="3325">
        <f>(I40-J1)/365</f>
        <v>0.40547945205479452</v>
      </c>
      <c r="K40" s="3313">
        <f>'租赁台账-今典底稿'!K19</f>
        <v>59629.54</v>
      </c>
      <c r="L40" s="3461"/>
      <c r="M40" s="3324">
        <f t="shared" si="16"/>
        <v>18.73</v>
      </c>
      <c r="N40" s="3447"/>
      <c r="O40" s="3447"/>
    </row>
    <row r="41" spans="1:15" x14ac:dyDescent="0.2">
      <c r="A41" s="3314" t="s">
        <v>4466</v>
      </c>
      <c r="B41" s="3314" t="s">
        <v>3633</v>
      </c>
      <c r="C41" s="3324">
        <v>21</v>
      </c>
      <c r="D41" s="3316" t="s">
        <v>3663</v>
      </c>
      <c r="E41" s="3316">
        <v>123.61</v>
      </c>
      <c r="F41" s="3310">
        <f>'租赁台账-今典底稿'!H20</f>
        <v>84.77</v>
      </c>
      <c r="G41" s="3328">
        <f t="shared" si="13"/>
        <v>0.68578593964889567</v>
      </c>
      <c r="H41" s="3311">
        <v>44602</v>
      </c>
      <c r="I41" s="3311">
        <v>45697</v>
      </c>
      <c r="J41" s="3326">
        <f>(I41-J1)/365</f>
        <v>2.2712328767123289</v>
      </c>
      <c r="K41" s="3313">
        <f>'租赁台账-今典底稿'!K20</f>
        <v>338804.506666667</v>
      </c>
      <c r="L41" s="3327">
        <f t="shared" si="14"/>
        <v>7.51</v>
      </c>
      <c r="M41" s="3324">
        <f t="shared" si="16"/>
        <v>10.95</v>
      </c>
      <c r="N41" s="3355">
        <f ca="1">N39</f>
        <v>52916</v>
      </c>
      <c r="O41" s="3355">
        <f ca="1">ROUND(E41*N41/10000,4)</f>
        <v>654.09469999999999</v>
      </c>
    </row>
    <row r="42" spans="1:15" x14ac:dyDescent="0.2">
      <c r="A42" s="3314" t="s">
        <v>4466</v>
      </c>
      <c r="B42" s="3314" t="s">
        <v>3634</v>
      </c>
      <c r="C42" s="3324">
        <v>22</v>
      </c>
      <c r="D42" s="3316" t="s">
        <v>3663</v>
      </c>
      <c r="E42" s="3316">
        <v>85.91</v>
      </c>
      <c r="F42" s="3310">
        <v>0</v>
      </c>
      <c r="G42" s="3310">
        <f t="shared" si="13"/>
        <v>0</v>
      </c>
      <c r="H42" s="3311" t="s">
        <v>4702</v>
      </c>
      <c r="I42" s="3311" t="s">
        <v>4702</v>
      </c>
      <c r="J42" s="3325" t="s">
        <v>4702</v>
      </c>
      <c r="K42" s="3313">
        <v>0</v>
      </c>
      <c r="L42" s="3327">
        <f t="shared" si="14"/>
        <v>0</v>
      </c>
      <c r="M42" s="3324">
        <v>0</v>
      </c>
      <c r="N42" s="3355">
        <f ca="1">N41</f>
        <v>52916</v>
      </c>
      <c r="O42" s="3355">
        <f ca="1">ROUND(E42*N42/10000,4)</f>
        <v>454.60140000000001</v>
      </c>
    </row>
    <row r="43" spans="1:15" x14ac:dyDescent="0.2">
      <c r="A43" s="3345" t="s">
        <v>4466</v>
      </c>
      <c r="B43" s="3345" t="s">
        <v>3635</v>
      </c>
      <c r="C43" s="3346">
        <v>23</v>
      </c>
      <c r="D43" s="3347" t="s">
        <v>3663</v>
      </c>
      <c r="E43" s="3347">
        <v>58.81</v>
      </c>
      <c r="F43" s="3347">
        <v>58.81</v>
      </c>
      <c r="G43" s="3347">
        <f t="shared" si="13"/>
        <v>1</v>
      </c>
      <c r="H43" s="3348">
        <v>44635</v>
      </c>
      <c r="I43" s="3348">
        <v>45365</v>
      </c>
      <c r="J43" s="3349">
        <f>(I43-J1)/365</f>
        <v>1.3616438356164384</v>
      </c>
      <c r="K43" s="3350">
        <f>'租赁台账-今典底稿'!K21</f>
        <v>256790.16</v>
      </c>
      <c r="L43" s="3346">
        <f t="shared" si="14"/>
        <v>11.96</v>
      </c>
      <c r="M43" s="3346">
        <f t="shared" si="16"/>
        <v>11.96</v>
      </c>
      <c r="N43" s="3355">
        <f ca="1">N42</f>
        <v>52916</v>
      </c>
      <c r="O43" s="3355">
        <f ca="1">ROUND(E43*N43/10000,4)</f>
        <v>311.19900000000001</v>
      </c>
    </row>
    <row r="44" spans="1:15" x14ac:dyDescent="0.2">
      <c r="A44" s="3314" t="s">
        <v>4466</v>
      </c>
      <c r="B44" s="3314" t="s">
        <v>3636</v>
      </c>
      <c r="C44" s="3324">
        <v>25</v>
      </c>
      <c r="D44" s="3316" t="s">
        <v>3663</v>
      </c>
      <c r="E44" s="3316">
        <v>88.45</v>
      </c>
      <c r="F44" s="3464">
        <f>'租赁台账-今典底稿'!H22</f>
        <v>87.23</v>
      </c>
      <c r="G44" s="3454">
        <f>F44/(E44+E45)</f>
        <v>0.46408810385188337</v>
      </c>
      <c r="H44" s="3467">
        <v>44150</v>
      </c>
      <c r="I44" s="3467">
        <v>45274</v>
      </c>
      <c r="J44" s="3472">
        <f>(I44-J1)/365</f>
        <v>1.1123287671232878</v>
      </c>
      <c r="K44" s="3458">
        <f>'租赁台账-今典底稿'!K22</f>
        <v>300281.96103896102</v>
      </c>
      <c r="L44" s="3460">
        <f>ROUND(K44/(E44+E45)/365,2)</f>
        <v>4.38</v>
      </c>
      <c r="M44" s="3462">
        <f t="shared" si="16"/>
        <v>9.43</v>
      </c>
      <c r="N44" s="3355">
        <f t="shared" ref="N44:N47" ca="1" si="17">N43</f>
        <v>52916</v>
      </c>
      <c r="O44" s="3355">
        <f ca="1">ROUND(E44*N44/10000,4)</f>
        <v>468.04199999999997</v>
      </c>
    </row>
    <row r="45" spans="1:15" x14ac:dyDescent="0.2">
      <c r="A45" s="3314" t="s">
        <v>4466</v>
      </c>
      <c r="B45" s="3314" t="s">
        <v>3659</v>
      </c>
      <c r="C45" s="3324">
        <v>76</v>
      </c>
      <c r="D45" s="3316" t="s">
        <v>3663</v>
      </c>
      <c r="E45" s="3316">
        <v>99.51</v>
      </c>
      <c r="F45" s="3465"/>
      <c r="G45" s="3455"/>
      <c r="H45" s="3468"/>
      <c r="I45" s="3468"/>
      <c r="J45" s="3473"/>
      <c r="K45" s="3459"/>
      <c r="L45" s="3461"/>
      <c r="M45" s="3463"/>
      <c r="N45" s="3355">
        <f t="shared" ca="1" si="17"/>
        <v>52916</v>
      </c>
      <c r="O45" s="3355">
        <f ca="1">ROUND(E45*N45/10000,4)</f>
        <v>526.56709999999998</v>
      </c>
    </row>
    <row r="46" spans="1:15" x14ac:dyDescent="0.2">
      <c r="A46" s="3314" t="s">
        <v>4466</v>
      </c>
      <c r="B46" s="3314" t="s">
        <v>3637</v>
      </c>
      <c r="C46" s="3324">
        <v>26</v>
      </c>
      <c r="D46" s="3316" t="s">
        <v>3663</v>
      </c>
      <c r="E46" s="3316">
        <v>127.25</v>
      </c>
      <c r="F46" s="3310">
        <f>'租赁台账-今典底稿'!H23</f>
        <v>117.7</v>
      </c>
      <c r="G46" s="3310">
        <f t="shared" si="13"/>
        <v>0.92495088408644399</v>
      </c>
      <c r="H46" s="3311">
        <v>44166</v>
      </c>
      <c r="I46" s="3311">
        <v>44957</v>
      </c>
      <c r="J46" s="3325">
        <f>(I46-J1)/365</f>
        <v>0.24383561643835616</v>
      </c>
      <c r="K46" s="3313">
        <f>'租赁台账-今典底稿'!K23</f>
        <v>391989.82488479302</v>
      </c>
      <c r="L46" s="3327">
        <f t="shared" si="14"/>
        <v>8.44</v>
      </c>
      <c r="M46" s="3324">
        <f t="shared" si="16"/>
        <v>9.1199999999999992</v>
      </c>
      <c r="N46" s="3355">
        <f t="shared" ca="1" si="17"/>
        <v>52916</v>
      </c>
      <c r="O46" s="3355">
        <f ca="1">ROUND(E46*N46/10000,4)</f>
        <v>673.35609999999997</v>
      </c>
    </row>
    <row r="47" spans="1:15" x14ac:dyDescent="0.2">
      <c r="A47" s="3314" t="s">
        <v>4466</v>
      </c>
      <c r="B47" s="3314" t="s">
        <v>3638</v>
      </c>
      <c r="C47" s="3324">
        <v>27</v>
      </c>
      <c r="D47" s="3316" t="s">
        <v>3663</v>
      </c>
      <c r="E47" s="3316">
        <v>210.49</v>
      </c>
      <c r="F47" s="3310">
        <v>0</v>
      </c>
      <c r="G47" s="3310">
        <f t="shared" si="13"/>
        <v>0</v>
      </c>
      <c r="H47" s="3311" t="s">
        <v>4702</v>
      </c>
      <c r="I47" s="3311" t="s">
        <v>4702</v>
      </c>
      <c r="J47" s="3325" t="s">
        <v>4702</v>
      </c>
      <c r="K47" s="3313">
        <v>0</v>
      </c>
      <c r="L47" s="3327">
        <f t="shared" si="14"/>
        <v>0</v>
      </c>
      <c r="M47" s="3324">
        <v>0</v>
      </c>
      <c r="N47" s="3355">
        <f t="shared" ca="1" si="17"/>
        <v>52916</v>
      </c>
      <c r="O47" s="3355">
        <f ca="1">ROUND(E47*N47/10000,4)</f>
        <v>1113.8289</v>
      </c>
    </row>
    <row r="48" spans="1:15" x14ac:dyDescent="0.2">
      <c r="A48" s="3314" t="s">
        <v>4466</v>
      </c>
      <c r="B48" s="3314" t="s">
        <v>3639</v>
      </c>
      <c r="C48" s="3324">
        <v>27</v>
      </c>
      <c r="D48" s="3316" t="s">
        <v>3665</v>
      </c>
      <c r="E48" s="3316">
        <v>3840.45</v>
      </c>
      <c r="F48" s="3310">
        <f>SUM('租赁台账-今典底稿'!H38:H71)</f>
        <v>3857.2700000000004</v>
      </c>
      <c r="G48" s="3310">
        <f t="shared" si="13"/>
        <v>1.0043796950878154</v>
      </c>
      <c r="H48" s="3311">
        <v>43590</v>
      </c>
      <c r="I48" s="3311">
        <v>46173</v>
      </c>
      <c r="J48" s="3326">
        <f>(I48-J1)/365</f>
        <v>3.5753424657534247</v>
      </c>
      <c r="K48" s="3313">
        <f>SUM('租赁台账-今典底稿'!K38:K71)</f>
        <v>6096822.9015267994</v>
      </c>
      <c r="L48" s="3327">
        <f t="shared" si="14"/>
        <v>4.3499999999999996</v>
      </c>
      <c r="M48" s="3324">
        <f t="shared" si="16"/>
        <v>4.33</v>
      </c>
      <c r="N48" s="3355">
        <f ca="1">M83</f>
        <v>21166</v>
      </c>
      <c r="O48" s="3355">
        <f ca="1">ROUND(E48*N48/10000,4)</f>
        <v>8128.6965</v>
      </c>
    </row>
    <row r="49" spans="1:15" x14ac:dyDescent="0.2">
      <c r="A49" s="3314" t="s">
        <v>4466</v>
      </c>
      <c r="B49" s="3314" t="s">
        <v>3640</v>
      </c>
      <c r="C49" s="3324">
        <v>28</v>
      </c>
      <c r="D49" s="3316" t="s">
        <v>3663</v>
      </c>
      <c r="E49" s="3316">
        <v>129.43</v>
      </c>
      <c r="F49" s="3310">
        <f>'租赁台账-今典底稿'!H24</f>
        <v>119.71</v>
      </c>
      <c r="G49" s="3310">
        <f t="shared" si="13"/>
        <v>0.92490149115351916</v>
      </c>
      <c r="H49" s="3311">
        <v>44540</v>
      </c>
      <c r="I49" s="3311">
        <v>45269</v>
      </c>
      <c r="J49" s="3326">
        <f>(I49-J1)/365</f>
        <v>1.0986301369863014</v>
      </c>
      <c r="K49" s="3313">
        <f>'租赁台账-今典底稿'!K24</f>
        <v>423177.84</v>
      </c>
      <c r="L49" s="3327">
        <f t="shared" si="14"/>
        <v>8.9600000000000009</v>
      </c>
      <c r="M49" s="3324">
        <f t="shared" si="16"/>
        <v>9.68</v>
      </c>
      <c r="N49" s="3355">
        <f ca="1">N47</f>
        <v>52916</v>
      </c>
      <c r="O49" s="3355">
        <f ca="1">ROUND(E49*N49/10000,4)</f>
        <v>684.89179999999999</v>
      </c>
    </row>
    <row r="50" spans="1:15" x14ac:dyDescent="0.2">
      <c r="A50" s="3314" t="s">
        <v>4466</v>
      </c>
      <c r="B50" s="3314" t="s">
        <v>3642</v>
      </c>
      <c r="C50" s="3324">
        <v>30</v>
      </c>
      <c r="D50" s="3316" t="s">
        <v>3663</v>
      </c>
      <c r="E50" s="3316">
        <v>47.82</v>
      </c>
      <c r="F50" s="3310">
        <f>'租赁台账-今典底稿'!H25</f>
        <v>44.23</v>
      </c>
      <c r="G50" s="3310">
        <f t="shared" si="13"/>
        <v>0.92492680886658296</v>
      </c>
      <c r="H50" s="3311">
        <v>44301</v>
      </c>
      <c r="I50" s="3311">
        <v>45030</v>
      </c>
      <c r="J50" s="3325">
        <f>(I50-J1)/365</f>
        <v>0.44383561643835617</v>
      </c>
      <c r="K50" s="3313">
        <f>'租赁台账-今典底稿'!K25</f>
        <v>180960.23</v>
      </c>
      <c r="L50" s="3327">
        <f t="shared" si="14"/>
        <v>10.37</v>
      </c>
      <c r="M50" s="3324">
        <f t="shared" si="16"/>
        <v>11.21</v>
      </c>
      <c r="N50" s="3355">
        <f ca="1">N49</f>
        <v>52916</v>
      </c>
      <c r="O50" s="3355">
        <f ca="1">ROUND(E50*N50/10000,4)</f>
        <v>253.04429999999999</v>
      </c>
    </row>
    <row r="51" spans="1:15" x14ac:dyDescent="0.2">
      <c r="A51" s="3314" t="s">
        <v>4466</v>
      </c>
      <c r="B51" s="3314" t="s">
        <v>3643</v>
      </c>
      <c r="C51" s="3324">
        <v>32</v>
      </c>
      <c r="D51" s="3316" t="s">
        <v>3663</v>
      </c>
      <c r="E51" s="3316">
        <v>58.24</v>
      </c>
      <c r="F51" s="3310">
        <f>'租赁台账-今典底稿'!H26</f>
        <v>53.87</v>
      </c>
      <c r="G51" s="3310">
        <f t="shared" si="13"/>
        <v>0.92496565934065922</v>
      </c>
      <c r="H51" s="3311">
        <v>44687</v>
      </c>
      <c r="I51" s="3311">
        <v>45417</v>
      </c>
      <c r="J51" s="3326">
        <f>(I51-J1)/365</f>
        <v>1.5041095890410958</v>
      </c>
      <c r="K51" s="3313">
        <f>'租赁台账-今典底稿'!K26</f>
        <v>212290</v>
      </c>
      <c r="L51" s="3327">
        <f t="shared" si="14"/>
        <v>9.99</v>
      </c>
      <c r="M51" s="3324">
        <f t="shared" si="16"/>
        <v>10.8</v>
      </c>
      <c r="N51" s="3355">
        <f t="shared" ref="N51" ca="1" si="18">N49</f>
        <v>52916</v>
      </c>
      <c r="O51" s="3355">
        <f ca="1">ROUND(E51*N51/10000,4)</f>
        <v>308.18279999999999</v>
      </c>
    </row>
    <row r="52" spans="1:15" x14ac:dyDescent="0.2">
      <c r="A52" s="3314" t="s">
        <v>4466</v>
      </c>
      <c r="B52" s="3314" t="s">
        <v>3644</v>
      </c>
      <c r="C52" s="3324">
        <v>36</v>
      </c>
      <c r="D52" s="3316" t="s">
        <v>3663</v>
      </c>
      <c r="E52" s="3316">
        <v>80</v>
      </c>
      <c r="F52" s="3310">
        <f>'租赁台账-今典底稿'!H27</f>
        <v>73.989999999999995</v>
      </c>
      <c r="G52" s="3310">
        <f t="shared" si="13"/>
        <v>0.92487499999999989</v>
      </c>
      <c r="H52" s="3311">
        <v>44090</v>
      </c>
      <c r="I52" s="3311">
        <v>45184</v>
      </c>
      <c r="J52" s="3325">
        <f>(I52-J1)/365</f>
        <v>0.86575342465753424</v>
      </c>
      <c r="K52" s="3313">
        <f>'租赁台账-今典底稿'!K27</f>
        <v>274902.14</v>
      </c>
      <c r="L52" s="3327">
        <f t="shared" si="14"/>
        <v>9.41</v>
      </c>
      <c r="M52" s="3324">
        <f t="shared" si="16"/>
        <v>10.18</v>
      </c>
      <c r="N52" s="3355">
        <f t="shared" ref="N52" ca="1" si="19">N51</f>
        <v>52916</v>
      </c>
      <c r="O52" s="3355">
        <f ca="1">ROUND(E52*N52/10000,4)</f>
        <v>423.32799999999997</v>
      </c>
    </row>
    <row r="53" spans="1:15" x14ac:dyDescent="0.2">
      <c r="A53" s="3314" t="s">
        <v>4466</v>
      </c>
      <c r="B53" s="3314" t="s">
        <v>3645</v>
      </c>
      <c r="C53" s="3324">
        <v>38</v>
      </c>
      <c r="D53" s="3316" t="s">
        <v>3663</v>
      </c>
      <c r="E53" s="3316">
        <v>105.57</v>
      </c>
      <c r="F53" s="3310">
        <f>'租赁台账-今典底稿'!H28</f>
        <v>97.64</v>
      </c>
      <c r="G53" s="3310">
        <f t="shared" si="13"/>
        <v>0.92488396324713462</v>
      </c>
      <c r="H53" s="3311">
        <v>44119</v>
      </c>
      <c r="I53" s="3311">
        <v>44848</v>
      </c>
      <c r="J53" s="3325">
        <f>(I53-J1)/365</f>
        <v>-5.4794520547945202E-2</v>
      </c>
      <c r="K53" s="3313">
        <f>'租赁台账-今典底稿'!K28</f>
        <v>339309.18</v>
      </c>
      <c r="L53" s="3327">
        <f t="shared" si="14"/>
        <v>8.81</v>
      </c>
      <c r="M53" s="3324">
        <f t="shared" si="16"/>
        <v>9.52</v>
      </c>
      <c r="N53" s="3355">
        <f t="shared" ref="N53" ca="1" si="20">N51</f>
        <v>52916</v>
      </c>
      <c r="O53" s="3355">
        <f ca="1">ROUND(E53*N53/10000,4)</f>
        <v>558.63419999999996</v>
      </c>
    </row>
    <row r="54" spans="1:15" x14ac:dyDescent="0.2">
      <c r="A54" s="3314" t="s">
        <v>4466</v>
      </c>
      <c r="B54" s="3314" t="s">
        <v>3647</v>
      </c>
      <c r="C54" s="3324">
        <v>50</v>
      </c>
      <c r="D54" s="3316" t="s">
        <v>3663</v>
      </c>
      <c r="E54" s="3316">
        <v>36.78</v>
      </c>
      <c r="F54" s="3310">
        <f>'租赁台账-今典底稿'!H29</f>
        <v>34.020000000000003</v>
      </c>
      <c r="G54" s="3310">
        <f t="shared" si="13"/>
        <v>0.92495921696574235</v>
      </c>
      <c r="H54" s="3311">
        <v>44150</v>
      </c>
      <c r="I54" s="3311">
        <v>44879</v>
      </c>
      <c r="J54" s="3325">
        <f>(I54-J1)/365</f>
        <v>3.0136986301369864E-2</v>
      </c>
      <c r="K54" s="3313">
        <f>'租赁台账-今典底稿'!K29</f>
        <v>141356.745</v>
      </c>
      <c r="L54" s="3327">
        <f t="shared" si="14"/>
        <v>10.53</v>
      </c>
      <c r="M54" s="3324">
        <f t="shared" si="16"/>
        <v>11.38</v>
      </c>
      <c r="N54" s="3355">
        <f t="shared" ref="N54" ca="1" si="21">N53</f>
        <v>52916</v>
      </c>
      <c r="O54" s="3355">
        <f ca="1">ROUND(E54*N54/10000,4)</f>
        <v>194.625</v>
      </c>
    </row>
    <row r="55" spans="1:15" x14ac:dyDescent="0.2">
      <c r="A55" s="3314" t="s">
        <v>4466</v>
      </c>
      <c r="B55" s="3314" t="s">
        <v>3648</v>
      </c>
      <c r="C55" s="3324">
        <v>52</v>
      </c>
      <c r="D55" s="3316" t="s">
        <v>3663</v>
      </c>
      <c r="E55" s="3316">
        <v>25.34</v>
      </c>
      <c r="F55" s="3310">
        <f>'租赁台账-今典底稿'!H30</f>
        <v>23.36</v>
      </c>
      <c r="G55" s="3310">
        <f t="shared" si="13"/>
        <v>0.92186266771902126</v>
      </c>
      <c r="H55" s="3311">
        <v>44114</v>
      </c>
      <c r="I55" s="3311">
        <v>44843</v>
      </c>
      <c r="J55" s="3325">
        <f>(I55-J1)/365</f>
        <v>-6.8493150684931503E-2</v>
      </c>
      <c r="K55" s="3313">
        <f>'租赁台账-今典底稿'!K30</f>
        <v>101865.96</v>
      </c>
      <c r="L55" s="3327">
        <f t="shared" si="14"/>
        <v>11.01</v>
      </c>
      <c r="M55" s="3324">
        <f t="shared" si="16"/>
        <v>11.95</v>
      </c>
      <c r="N55" s="3355">
        <f t="shared" ref="N55" ca="1" si="22">N53</f>
        <v>52916</v>
      </c>
      <c r="O55" s="3355">
        <f ca="1">ROUND(E55*N55/10000,4)</f>
        <v>134.0891</v>
      </c>
    </row>
    <row r="56" spans="1:15" x14ac:dyDescent="0.2">
      <c r="A56" s="3314" t="s">
        <v>4466</v>
      </c>
      <c r="B56" s="3314" t="s">
        <v>3649</v>
      </c>
      <c r="C56" s="3324">
        <v>56</v>
      </c>
      <c r="D56" s="3316" t="s">
        <v>3663</v>
      </c>
      <c r="E56" s="3316">
        <v>78.45</v>
      </c>
      <c r="F56" s="3310">
        <f>'租赁台账-今典底稿'!H31</f>
        <v>72.56</v>
      </c>
      <c r="G56" s="3310">
        <f t="shared" si="13"/>
        <v>0.92492033142128749</v>
      </c>
      <c r="H56" s="3311">
        <v>44477</v>
      </c>
      <c r="I56" s="3311">
        <v>45206</v>
      </c>
      <c r="J56" s="3325">
        <f>(I56-J1)/365</f>
        <v>0.92602739726027394</v>
      </c>
      <c r="K56" s="3313">
        <f>'租赁台账-今典底稿'!K31</f>
        <v>284574.88</v>
      </c>
      <c r="L56" s="3327">
        <f t="shared" si="14"/>
        <v>9.94</v>
      </c>
      <c r="M56" s="3324">
        <f t="shared" si="16"/>
        <v>10.75</v>
      </c>
      <c r="N56" s="3355">
        <f t="shared" ref="N56" ca="1" si="23">N55</f>
        <v>52916</v>
      </c>
      <c r="O56" s="3355">
        <f ca="1">ROUND(E56*N56/10000,4)</f>
        <v>415.12599999999998</v>
      </c>
    </row>
    <row r="57" spans="1:15" x14ac:dyDescent="0.2">
      <c r="A57" s="3314" t="s">
        <v>4466</v>
      </c>
      <c r="B57" s="3314" t="s">
        <v>3650</v>
      </c>
      <c r="C57" s="3324">
        <v>58</v>
      </c>
      <c r="D57" s="3316" t="s">
        <v>3663</v>
      </c>
      <c r="E57" s="3316">
        <v>125.54</v>
      </c>
      <c r="F57" s="3310">
        <f>'租赁台账-今典底稿'!H32</f>
        <v>86.61</v>
      </c>
      <c r="G57" s="3328">
        <f t="shared" si="13"/>
        <v>0.68989963358292172</v>
      </c>
      <c r="H57" s="3311">
        <v>44013</v>
      </c>
      <c r="I57" s="3311">
        <v>44742</v>
      </c>
      <c r="J57" s="3325">
        <f>(I57-J1)/365</f>
        <v>-0.34520547945205482</v>
      </c>
      <c r="K57" s="3313">
        <f>'租赁台账-今典底稿'!K32</f>
        <v>311068.48</v>
      </c>
      <c r="L57" s="3327">
        <f t="shared" si="14"/>
        <v>6.79</v>
      </c>
      <c r="M57" s="3324">
        <f t="shared" si="16"/>
        <v>9.84</v>
      </c>
      <c r="N57" s="3355">
        <f t="shared" ref="N57" ca="1" si="24">N55</f>
        <v>52916</v>
      </c>
      <c r="O57" s="3355">
        <f ca="1">ROUND(E57*N57/10000,4)</f>
        <v>664.3075</v>
      </c>
    </row>
    <row r="58" spans="1:15" x14ac:dyDescent="0.2">
      <c r="A58" s="3314" t="s">
        <v>4466</v>
      </c>
      <c r="B58" s="3314" t="s">
        <v>3652</v>
      </c>
      <c r="C58" s="3324">
        <v>60</v>
      </c>
      <c r="D58" s="3316" t="s">
        <v>3663</v>
      </c>
      <c r="E58" s="3316">
        <v>48.96</v>
      </c>
      <c r="F58" s="3464">
        <f>'租赁台账-今典底稿'!H33</f>
        <v>67.45</v>
      </c>
      <c r="G58" s="3454">
        <f>F58/(E58+E59)</f>
        <v>0.69129855488367331</v>
      </c>
      <c r="H58" s="3467">
        <v>44067</v>
      </c>
      <c r="I58" s="3467">
        <v>44871</v>
      </c>
      <c r="J58" s="3469">
        <f>(I58-J1)/365</f>
        <v>8.21917808219178E-3</v>
      </c>
      <c r="K58" s="3458">
        <f>'租赁台账-今典底稿'!K33</f>
        <v>223581.99635987601</v>
      </c>
      <c r="L58" s="3460">
        <f>ROUND(K58/(E58+E59)/365,2)</f>
        <v>6.28</v>
      </c>
      <c r="M58" s="3462">
        <f t="shared" si="16"/>
        <v>9.08</v>
      </c>
      <c r="N58" s="3446">
        <f ca="1">N57</f>
        <v>52916</v>
      </c>
      <c r="O58" s="3446">
        <f ca="1">ROUND(E58*N58/10000,4)</f>
        <v>259.07670000000002</v>
      </c>
    </row>
    <row r="59" spans="1:15" x14ac:dyDescent="0.2">
      <c r="A59" s="3314" t="s">
        <v>4466</v>
      </c>
      <c r="B59" s="3314" t="s">
        <v>3653</v>
      </c>
      <c r="C59" s="3324">
        <v>62</v>
      </c>
      <c r="D59" s="3316" t="s">
        <v>3663</v>
      </c>
      <c r="E59" s="3316">
        <v>48.61</v>
      </c>
      <c r="F59" s="3465"/>
      <c r="G59" s="3455"/>
      <c r="H59" s="3468"/>
      <c r="I59" s="3468"/>
      <c r="J59" s="3470"/>
      <c r="K59" s="3459"/>
      <c r="L59" s="3461"/>
      <c r="M59" s="3463"/>
      <c r="N59" s="3447"/>
      <c r="O59" s="3447"/>
    </row>
    <row r="60" spans="1:15" x14ac:dyDescent="0.2">
      <c r="A60" s="3314" t="s">
        <v>4466</v>
      </c>
      <c r="B60" s="3314" t="s">
        <v>3654</v>
      </c>
      <c r="C60" s="3324">
        <v>66</v>
      </c>
      <c r="D60" s="3316" t="s">
        <v>3663</v>
      </c>
      <c r="E60" s="3316">
        <v>97.45</v>
      </c>
      <c r="F60" s="3310">
        <f>'租赁台账-今典底稿'!H34</f>
        <v>90.13</v>
      </c>
      <c r="G60" s="3310">
        <f t="shared" si="13"/>
        <v>0.92488455618265775</v>
      </c>
      <c r="H60" s="3311">
        <v>44270</v>
      </c>
      <c r="I60" s="3311">
        <v>44999</v>
      </c>
      <c r="J60" s="3325">
        <f>(I60-J1)/365</f>
        <v>0.35890410958904112</v>
      </c>
      <c r="K60" s="3313">
        <f>'租赁台账-今典底稿'!K34</f>
        <v>313127.96500000003</v>
      </c>
      <c r="L60" s="3327">
        <f t="shared" si="14"/>
        <v>8.8000000000000007</v>
      </c>
      <c r="M60" s="3324">
        <f t="shared" si="16"/>
        <v>9.52</v>
      </c>
      <c r="N60" s="3355">
        <f ca="1">N58</f>
        <v>52916</v>
      </c>
      <c r="O60" s="3355">
        <f ca="1">ROUND(E60*N60/10000,4)</f>
        <v>515.66639999999995</v>
      </c>
    </row>
    <row r="61" spans="1:15" x14ac:dyDescent="0.2">
      <c r="A61" s="3314" t="s">
        <v>4466</v>
      </c>
      <c r="B61" s="3314" t="s">
        <v>3655</v>
      </c>
      <c r="C61" s="3324">
        <v>68</v>
      </c>
      <c r="D61" s="3316" t="s">
        <v>3663</v>
      </c>
      <c r="E61" s="3316">
        <v>96.98</v>
      </c>
      <c r="F61" s="3310">
        <f>'租赁台账-今典底稿'!H35</f>
        <v>69.44</v>
      </c>
      <c r="G61" s="3328">
        <f t="shared" si="13"/>
        <v>0.71602392245823876</v>
      </c>
      <c r="H61" s="3311">
        <v>44636</v>
      </c>
      <c r="I61" s="3311">
        <v>45366</v>
      </c>
      <c r="J61" s="3326">
        <f>(I61-J1)/365</f>
        <v>1.3643835616438356</v>
      </c>
      <c r="K61" s="3313">
        <f>'租赁台账-今典底稿'!K35</f>
        <v>254923.935</v>
      </c>
      <c r="L61" s="3327">
        <f t="shared" si="14"/>
        <v>7.2</v>
      </c>
      <c r="M61" s="3324">
        <f t="shared" si="16"/>
        <v>10.06</v>
      </c>
      <c r="N61" s="3355">
        <f ca="1">N60</f>
        <v>52916</v>
      </c>
      <c r="O61" s="3355">
        <f ca="1">ROUND(E61*N61/10000,4)</f>
        <v>513.17939999999999</v>
      </c>
    </row>
    <row r="62" spans="1:15" x14ac:dyDescent="0.2">
      <c r="A62" s="3314" t="s">
        <v>4466</v>
      </c>
      <c r="B62" s="3314" t="s">
        <v>3657</v>
      </c>
      <c r="C62" s="3324">
        <v>70</v>
      </c>
      <c r="D62" s="3316" t="s">
        <v>3663</v>
      </c>
      <c r="E62" s="3316">
        <v>132.96</v>
      </c>
      <c r="F62" s="3310">
        <f>'租赁台账-今典底稿'!H36</f>
        <v>122.98</v>
      </c>
      <c r="G62" s="3310">
        <f t="shared" si="13"/>
        <v>0.92493983152827919</v>
      </c>
      <c r="H62" s="3311">
        <v>44126</v>
      </c>
      <c r="I62" s="3311">
        <v>44886</v>
      </c>
      <c r="J62" s="3325">
        <f>(I62-J1)/365</f>
        <v>4.9315068493150684E-2</v>
      </c>
      <c r="K62" s="3313">
        <f>'租赁台账-今典底稿'!K36</f>
        <v>394304.99519230798</v>
      </c>
      <c r="L62" s="3327">
        <f t="shared" si="14"/>
        <v>8.1199999999999992</v>
      </c>
      <c r="M62" s="3324">
        <f t="shared" si="16"/>
        <v>8.7799999999999994</v>
      </c>
      <c r="N62" s="3355">
        <f ca="1">N61</f>
        <v>52916</v>
      </c>
      <c r="O62" s="3355">
        <f ca="1">ROUND(E62*N62/10000,4)</f>
        <v>703.5711</v>
      </c>
    </row>
    <row r="63" spans="1:15" x14ac:dyDescent="0.2">
      <c r="A63" s="3314" t="s">
        <v>4466</v>
      </c>
      <c r="B63" s="3314" t="s">
        <v>3658</v>
      </c>
      <c r="C63" s="3324">
        <v>72</v>
      </c>
      <c r="D63" s="3316" t="s">
        <v>3663</v>
      </c>
      <c r="E63" s="3316">
        <v>134.84</v>
      </c>
      <c r="F63" s="3329">
        <f>'租赁台账-今典底稿'!H37</f>
        <v>100.8</v>
      </c>
      <c r="G63" s="3328">
        <f t="shared" si="13"/>
        <v>0.74755265499851675</v>
      </c>
      <c r="H63" s="3311">
        <v>44298</v>
      </c>
      <c r="I63" s="3311">
        <v>45027</v>
      </c>
      <c r="J63" s="3325">
        <f>(I63-J1)/365</f>
        <v>0.43561643835616437</v>
      </c>
      <c r="K63" s="3313">
        <f>'租赁台账-今典底稿'!K37</f>
        <v>343407.33</v>
      </c>
      <c r="L63" s="3327">
        <f t="shared" si="14"/>
        <v>6.98</v>
      </c>
      <c r="M63" s="3324">
        <f t="shared" si="16"/>
        <v>9.33</v>
      </c>
      <c r="N63" s="3355">
        <f ca="1">N62</f>
        <v>52916</v>
      </c>
      <c r="O63" s="3355">
        <f ca="1">ROUND(E63*N63/10000,4)</f>
        <v>713.51930000000004</v>
      </c>
    </row>
    <row r="64" spans="1:15" x14ac:dyDescent="0.2">
      <c r="A64" s="3321" t="s">
        <v>4781</v>
      </c>
      <c r="B64" s="3321"/>
      <c r="C64" s="3321"/>
      <c r="D64" s="3316"/>
      <c r="E64" s="3316">
        <f>SUM(E20:E63)</f>
        <v>11269.220000000001</v>
      </c>
      <c r="F64" s="3322">
        <f>SUM(租约整理!F20:F63)</f>
        <v>9558.4</v>
      </c>
      <c r="G64" s="3310">
        <f t="shared" si="13"/>
        <v>0.84818647608263908</v>
      </c>
      <c r="H64" s="3321"/>
      <c r="I64" s="3321"/>
      <c r="J64" s="3321"/>
      <c r="K64" s="3321"/>
      <c r="L64" s="3321"/>
      <c r="M64" s="3321"/>
      <c r="N64" s="3364"/>
      <c r="O64" s="3365">
        <f ca="1">SUM(O20:O63)</f>
        <v>37557.772900000004</v>
      </c>
    </row>
    <row r="65" spans="1:16" x14ac:dyDescent="0.2">
      <c r="A65" s="3321" t="s">
        <v>4782</v>
      </c>
      <c r="B65" s="3321"/>
      <c r="C65" s="3321"/>
      <c r="D65" s="3316"/>
      <c r="E65" s="3316">
        <f>E64+E18</f>
        <v>14818.100000000002</v>
      </c>
      <c r="F65" s="3321"/>
      <c r="G65" s="3321"/>
      <c r="H65" s="3321"/>
      <c r="I65" s="3321"/>
      <c r="J65" s="3321"/>
      <c r="K65" s="3321"/>
      <c r="L65" s="3321"/>
      <c r="M65" s="3342"/>
      <c r="N65" s="3368" t="s">
        <v>4790</v>
      </c>
      <c r="O65" s="3369">
        <f ca="1">O64+O18</f>
        <v>50648.052900000002</v>
      </c>
      <c r="P65" s="3370"/>
    </row>
    <row r="66" spans="1:16" x14ac:dyDescent="0.2">
      <c r="N66" s="3368" t="s">
        <v>4758</v>
      </c>
      <c r="O66" s="3369">
        <f>[2]汇总表!$M$1</f>
        <v>15002</v>
      </c>
      <c r="P66" s="3371">
        <f ca="1">O65+O66</f>
        <v>65650.05290000001</v>
      </c>
    </row>
    <row r="67" spans="1:16" x14ac:dyDescent="0.2">
      <c r="F67" s="3232" t="s">
        <v>4750</v>
      </c>
      <c r="G67" s="3232" t="s">
        <v>4801</v>
      </c>
      <c r="H67" s="3825">
        <v>9.1199999999999992</v>
      </c>
      <c r="J67" s="3443" t="s">
        <v>4776</v>
      </c>
      <c r="K67" s="3321" t="s">
        <v>4793</v>
      </c>
      <c r="L67" s="3321" t="s">
        <v>4791</v>
      </c>
      <c r="M67" s="3321" t="s">
        <v>4792</v>
      </c>
      <c r="N67" s="3366" t="s">
        <v>4772</v>
      </c>
      <c r="O67" s="3367" t="s">
        <v>4773</v>
      </c>
    </row>
    <row r="68" spans="1:16" x14ac:dyDescent="0.2">
      <c r="G68" s="3232" t="s">
        <v>4802</v>
      </c>
      <c r="H68" s="3825">
        <f>ROUND((M3+M4+M5+M6+M14)/5,2)</f>
        <v>9.32</v>
      </c>
      <c r="J68" s="3444"/>
      <c r="K68" s="3321" t="s">
        <v>4709</v>
      </c>
      <c r="L68" s="3321">
        <f>ROUND((L20+L25+L31+L34+L35+L39+L43+L46+L49+L50+L51+L52+L53+L54+L55+L56+L60+L62)/18,2)</f>
        <v>10.01</v>
      </c>
      <c r="M68" s="3351">
        <f>ROUND((M20+M25+M31+M34+M35+M39+M43+M46+M49+M50+M51+M52+M53+M54+M55+M56+M60+M62)/18,2)</f>
        <v>10.66</v>
      </c>
      <c r="N68" s="3358">
        <v>1</v>
      </c>
      <c r="O68" s="3362">
        <v>1</v>
      </c>
    </row>
    <row r="69" spans="1:16" x14ac:dyDescent="0.2">
      <c r="F69" s="3232" t="s">
        <v>4739</v>
      </c>
      <c r="G69" s="3232" t="s">
        <v>4801</v>
      </c>
      <c r="H69" s="3232">
        <v>8.8000000000000007</v>
      </c>
      <c r="J69" s="3444"/>
      <c r="K69" s="3321" t="s">
        <v>4797</v>
      </c>
      <c r="L69" s="3321">
        <f>ROUND((L22+L27+L36)/3,2)</f>
        <v>5.58</v>
      </c>
      <c r="M69" s="3351">
        <f>ROUND((M22+M27+M36)/3,2)</f>
        <v>7.93</v>
      </c>
      <c r="N69" s="3358">
        <f>ROUND(L69/L68,1)</f>
        <v>0.6</v>
      </c>
      <c r="O69" s="3362">
        <f>ROUND(M69/M68,1)</f>
        <v>0.7</v>
      </c>
    </row>
    <row r="70" spans="1:16" x14ac:dyDescent="0.2">
      <c r="G70" s="3232" t="s">
        <v>4802</v>
      </c>
      <c r="H70" s="3232">
        <f>ROUND((L20+L43+L31+L34+L41+L29)/6,2)</f>
        <v>12.87</v>
      </c>
      <c r="I70" s="3232">
        <f>ROUND(H69/H70,1)</f>
        <v>0.7</v>
      </c>
      <c r="J70" s="3444"/>
      <c r="K70" s="3321" t="s">
        <v>4798</v>
      </c>
      <c r="L70" s="3321">
        <f>L18</f>
        <v>8.0399999999999991</v>
      </c>
      <c r="M70" s="3351">
        <f>M18</f>
        <v>8.82</v>
      </c>
      <c r="N70" s="3358">
        <f>ROUND(L70/L68,1)</f>
        <v>0.8</v>
      </c>
      <c r="O70" s="3362">
        <f>ROUND(M70/M68,1)</f>
        <v>0.8</v>
      </c>
    </row>
    <row r="71" spans="1:16" x14ac:dyDescent="0.2">
      <c r="J71" s="3445"/>
      <c r="K71" s="3321" t="s">
        <v>4710</v>
      </c>
      <c r="L71" s="3321">
        <f>L48</f>
        <v>4.3499999999999996</v>
      </c>
      <c r="M71" s="3351">
        <f>M48</f>
        <v>4.33</v>
      </c>
      <c r="N71" s="3358">
        <f>ROUND(L71/L68,1)</f>
        <v>0.4</v>
      </c>
      <c r="O71" s="3362">
        <f>ROUND(M71/M68,1)</f>
        <v>0.4</v>
      </c>
    </row>
    <row r="73" spans="1:16" x14ac:dyDescent="0.2">
      <c r="J73" s="3344" t="s">
        <v>4774</v>
      </c>
      <c r="K73" s="3321" t="s">
        <v>4709</v>
      </c>
      <c r="L73" s="3321" t="s">
        <v>4704</v>
      </c>
      <c r="M73" s="3321" t="str">
        <f>J83</f>
        <v>负1层</v>
      </c>
      <c r="N73" s="3357"/>
    </row>
    <row r="74" spans="1:16" x14ac:dyDescent="0.2">
      <c r="J74" s="3321">
        <v>1</v>
      </c>
      <c r="K74" s="3321">
        <v>11.11</v>
      </c>
      <c r="L74" s="3321">
        <v>7.23</v>
      </c>
      <c r="M74" s="3321">
        <v>3.64</v>
      </c>
      <c r="N74" s="3357"/>
    </row>
    <row r="75" spans="1:16" x14ac:dyDescent="0.2">
      <c r="J75" s="3321">
        <v>2</v>
      </c>
      <c r="K75" s="3321">
        <v>11.25</v>
      </c>
      <c r="L75" s="3321">
        <v>7.3</v>
      </c>
      <c r="M75" s="3321">
        <v>3.27</v>
      </c>
      <c r="N75" s="3357"/>
    </row>
    <row r="76" spans="1:16" x14ac:dyDescent="0.2">
      <c r="J76" s="3321">
        <v>3</v>
      </c>
      <c r="K76" s="3321">
        <v>11.67</v>
      </c>
      <c r="L76" s="3321">
        <v>7.02</v>
      </c>
      <c r="M76" s="3321">
        <v>3.16</v>
      </c>
      <c r="N76" s="3357"/>
    </row>
    <row r="77" spans="1:16" x14ac:dyDescent="0.2">
      <c r="J77" s="3321" t="s">
        <v>4775</v>
      </c>
      <c r="K77" s="3321">
        <f>ROUND((K74+K75+K76)/3,2)</f>
        <v>11.34</v>
      </c>
      <c r="L77" s="3321">
        <f t="shared" ref="L77:M77" si="25">ROUND((L74+L75+L76)/3,2)</f>
        <v>7.18</v>
      </c>
      <c r="M77" s="3321">
        <f t="shared" si="25"/>
        <v>3.36</v>
      </c>
      <c r="N77" s="3357"/>
    </row>
    <row r="79" spans="1:16" x14ac:dyDescent="0.2">
      <c r="J79" s="3344" t="s">
        <v>4794</v>
      </c>
      <c r="K79" s="3343" t="s">
        <v>4795</v>
      </c>
      <c r="L79" s="3343" t="s">
        <v>4777</v>
      </c>
      <c r="M79" s="3343" t="s">
        <v>4778</v>
      </c>
      <c r="N79" s="3358" t="s">
        <v>4779</v>
      </c>
      <c r="O79" s="3352" t="s">
        <v>4722</v>
      </c>
      <c r="P79" s="3343" t="s">
        <v>4780</v>
      </c>
    </row>
    <row r="80" spans="1:16" x14ac:dyDescent="0.2">
      <c r="J80" s="3343" t="s">
        <v>4709</v>
      </c>
      <c r="K80" s="3343">
        <f>K77</f>
        <v>11.34</v>
      </c>
      <c r="L80" s="3343">
        <f>N68</f>
        <v>1</v>
      </c>
      <c r="M80" s="3343">
        <f ca="1">'结果表-商业'!G20</f>
        <v>52916</v>
      </c>
      <c r="N80" s="3359">
        <f>E20+E21+E22+E25+E26+SUM(E29:E35)+SUM(E39:E47)+SUM(E49:E63)</f>
        <v>2881.96</v>
      </c>
      <c r="O80" s="3355">
        <f ca="1">ROUND(M80*N80/10000,4)</f>
        <v>15250.1795</v>
      </c>
      <c r="P80" s="3440">
        <f ca="1">ROUND(O84/N84*10000,0)</f>
        <v>34353</v>
      </c>
    </row>
    <row r="81" spans="10:16" x14ac:dyDescent="0.2">
      <c r="J81" s="3343" t="str">
        <f>K69</f>
        <v>2#1-2层</v>
      </c>
      <c r="K81" s="3343">
        <f>L69</f>
        <v>5.58</v>
      </c>
      <c r="L81" s="3361">
        <f>N69</f>
        <v>0.6</v>
      </c>
      <c r="M81" s="3343">
        <f ca="1">ROUND(M80*L81,0)</f>
        <v>31750</v>
      </c>
      <c r="N81" s="3359">
        <f>E23+E27+E36</f>
        <v>4546.8099999999995</v>
      </c>
      <c r="O81" s="3355">
        <f ca="1">ROUND(M81*N81/10000,4)</f>
        <v>14436.121800000001</v>
      </c>
      <c r="P81" s="3441"/>
    </row>
    <row r="82" spans="10:16" x14ac:dyDescent="0.2">
      <c r="J82" s="3343" t="str">
        <f>K70</f>
        <v>3#1-2层</v>
      </c>
      <c r="K82" s="3343">
        <f>L77</f>
        <v>7.18</v>
      </c>
      <c r="L82" s="3361">
        <f>N70</f>
        <v>0.8</v>
      </c>
      <c r="M82" s="3343">
        <f ca="1">ROUND(M80*L82,0)</f>
        <v>42333</v>
      </c>
      <c r="N82" s="3359">
        <f>SUM(E3:E16)</f>
        <v>2635.44</v>
      </c>
      <c r="O82" s="3355">
        <f ca="1">ROUND(M82*N82/10000,4)</f>
        <v>11156.608200000001</v>
      </c>
      <c r="P82" s="3441"/>
    </row>
    <row r="83" spans="10:16" x14ac:dyDescent="0.2">
      <c r="J83" s="3343" t="str">
        <f>K71</f>
        <v>负1层</v>
      </c>
      <c r="K83" s="3343">
        <f>M77</f>
        <v>3.36</v>
      </c>
      <c r="L83" s="3361">
        <f>N71</f>
        <v>0.4</v>
      </c>
      <c r="M83" s="3343">
        <f ca="1">ROUND(M80*L83,0)</f>
        <v>21166</v>
      </c>
      <c r="N83" s="3359">
        <f>E48+E17</f>
        <v>4753.8899999999994</v>
      </c>
      <c r="O83" s="3355">
        <f ca="1">ROUND(M83*N83/10000,4)</f>
        <v>10062.0836</v>
      </c>
      <c r="P83" s="3441"/>
    </row>
    <row r="84" spans="10:16" x14ac:dyDescent="0.2">
      <c r="J84" s="3343"/>
      <c r="K84" s="3343"/>
      <c r="L84" s="3343"/>
      <c r="M84" s="3343"/>
      <c r="N84" s="3359">
        <f>SUM(N80:N83)</f>
        <v>14818.099999999999</v>
      </c>
      <c r="O84" s="3355">
        <f ca="1">ROUND(O80+O81+O82+O83,4)</f>
        <v>50904.9931</v>
      </c>
      <c r="P84" s="3442"/>
    </row>
    <row r="85" spans="10:16" x14ac:dyDescent="0.2">
      <c r="N85" s="3363"/>
    </row>
    <row r="86" spans="10:16" x14ac:dyDescent="0.2">
      <c r="J86" s="3321" t="s">
        <v>4787</v>
      </c>
      <c r="K86" s="3321" t="s">
        <v>4788</v>
      </c>
      <c r="L86" s="3321" t="s">
        <v>4789</v>
      </c>
    </row>
    <row r="87" spans="10:16" x14ac:dyDescent="0.2">
      <c r="J87" s="3321" t="s">
        <v>4783</v>
      </c>
      <c r="K87" s="3321">
        <f>[2]汇总表!$Q$4</f>
        <v>4285</v>
      </c>
      <c r="L87" s="3321">
        <v>6.0780000000000003</v>
      </c>
    </row>
    <row r="88" spans="10:16" x14ac:dyDescent="0.2">
      <c r="J88" s="3321" t="s">
        <v>4784</v>
      </c>
      <c r="K88" s="3372">
        <f ca="1">O64+[2]汇总表!$Z$4</f>
        <v>38569.772900000004</v>
      </c>
      <c r="L88" s="3321">
        <v>11.106999999999999</v>
      </c>
    </row>
    <row r="89" spans="10:16" x14ac:dyDescent="0.2">
      <c r="J89" s="3321" t="s">
        <v>4785</v>
      </c>
      <c r="K89" s="3372">
        <f ca="1">O18+[2]汇总表!$AI$4</f>
        <v>13812.28</v>
      </c>
      <c r="L89" s="3321">
        <v>8.6311999999999998</v>
      </c>
    </row>
    <row r="90" spans="10:16" x14ac:dyDescent="0.2">
      <c r="J90" s="3321" t="s">
        <v>4786</v>
      </c>
      <c r="K90" s="3321">
        <f>[2]汇总表!$H$4</f>
        <v>8983</v>
      </c>
      <c r="L90" s="3321">
        <v>8.0465999999999998</v>
      </c>
    </row>
    <row r="91" spans="10:16" x14ac:dyDescent="0.2">
      <c r="J91" s="3321" t="s">
        <v>4782</v>
      </c>
      <c r="K91" s="3373">
        <f ca="1">SUM(K87:K90)</f>
        <v>65650.05290000001</v>
      </c>
      <c r="L91" s="3370">
        <f>SUM(L87:L90)</f>
        <v>33.8628</v>
      </c>
    </row>
    <row r="92" spans="10:16" x14ac:dyDescent="0.2">
      <c r="J92" s="3321" t="s">
        <v>4796</v>
      </c>
      <c r="K92" s="3370">
        <v>13.815</v>
      </c>
      <c r="L92" s="3321"/>
    </row>
  </sheetData>
  <mergeCells count="94">
    <mergeCell ref="F44:F45"/>
    <mergeCell ref="G44:G45"/>
    <mergeCell ref="H44:H45"/>
    <mergeCell ref="I44:I45"/>
    <mergeCell ref="J44:J45"/>
    <mergeCell ref="F58:F59"/>
    <mergeCell ref="G58:G59"/>
    <mergeCell ref="H58:H59"/>
    <mergeCell ref="I58:I59"/>
    <mergeCell ref="J58:J59"/>
    <mergeCell ref="D39:D40"/>
    <mergeCell ref="E39:E40"/>
    <mergeCell ref="G39:G40"/>
    <mergeCell ref="F31:F32"/>
    <mergeCell ref="G31:G32"/>
    <mergeCell ref="D36:D38"/>
    <mergeCell ref="E36:E38"/>
    <mergeCell ref="G36:G38"/>
    <mergeCell ref="A39:A40"/>
    <mergeCell ref="M25:M26"/>
    <mergeCell ref="A27:A28"/>
    <mergeCell ref="B27:B28"/>
    <mergeCell ref="D27:D28"/>
    <mergeCell ref="E27:E28"/>
    <mergeCell ref="G27:G28"/>
    <mergeCell ref="L27:L28"/>
    <mergeCell ref="H25:H26"/>
    <mergeCell ref="I25:I26"/>
    <mergeCell ref="J25:J26"/>
    <mergeCell ref="K25:K26"/>
    <mergeCell ref="L25:L26"/>
    <mergeCell ref="L31:L32"/>
    <mergeCell ref="K31:K32"/>
    <mergeCell ref="B39:B40"/>
    <mergeCell ref="M22:M23"/>
    <mergeCell ref="M31:M32"/>
    <mergeCell ref="A36:A38"/>
    <mergeCell ref="A23:A24"/>
    <mergeCell ref="B23:B24"/>
    <mergeCell ref="E23:E24"/>
    <mergeCell ref="F25:F26"/>
    <mergeCell ref="G25:G26"/>
    <mergeCell ref="L36:L38"/>
    <mergeCell ref="H31:H32"/>
    <mergeCell ref="I31:I32"/>
    <mergeCell ref="J31:J32"/>
    <mergeCell ref="B36:B38"/>
    <mergeCell ref="O3:O4"/>
    <mergeCell ref="K20:K21"/>
    <mergeCell ref="L20:L21"/>
    <mergeCell ref="M20:M21"/>
    <mergeCell ref="F22:F23"/>
    <mergeCell ref="G22:G24"/>
    <mergeCell ref="H22:H23"/>
    <mergeCell ref="I22:I23"/>
    <mergeCell ref="J22:J23"/>
    <mergeCell ref="K22:K23"/>
    <mergeCell ref="L22:L24"/>
    <mergeCell ref="F20:F21"/>
    <mergeCell ref="G20:G21"/>
    <mergeCell ref="H20:H21"/>
    <mergeCell ref="I20:I21"/>
    <mergeCell ref="J20:J21"/>
    <mergeCell ref="L3:L4"/>
    <mergeCell ref="F16:F17"/>
    <mergeCell ref="G16:G17"/>
    <mergeCell ref="H19:I19"/>
    <mergeCell ref="N3:N4"/>
    <mergeCell ref="H2:I2"/>
    <mergeCell ref="A3:A4"/>
    <mergeCell ref="B3:B4"/>
    <mergeCell ref="C3:C4"/>
    <mergeCell ref="D3:D4"/>
    <mergeCell ref="E3:E4"/>
    <mergeCell ref="G3:G4"/>
    <mergeCell ref="N23:N24"/>
    <mergeCell ref="O23:O24"/>
    <mergeCell ref="N27:N28"/>
    <mergeCell ref="N36:N38"/>
    <mergeCell ref="N39:N40"/>
    <mergeCell ref="P80:P84"/>
    <mergeCell ref="J67:J71"/>
    <mergeCell ref="N58:N59"/>
    <mergeCell ref="O27:O28"/>
    <mergeCell ref="O36:O38"/>
    <mergeCell ref="O39:O40"/>
    <mergeCell ref="O58:O59"/>
    <mergeCell ref="K44:K45"/>
    <mergeCell ref="L44:L45"/>
    <mergeCell ref="L39:L40"/>
    <mergeCell ref="M44:M45"/>
    <mergeCell ref="K58:K59"/>
    <mergeCell ref="L58:L59"/>
    <mergeCell ref="M58:M59"/>
  </mergeCells>
  <phoneticPr fontId="140" type="noConversion"/>
  <pageMargins left="0.7" right="0.7" top="0.75" bottom="0.75" header="0.3" footer="0.3"/>
  <pageSetup paperSize="9" orientation="portrait" horizontalDpi="0" verticalDpi="0"/>
  <ignoredErrors>
    <ignoredError sqref="N6 N8 N10 N12 N14:N15 N50 N52 N54 N56" formula="1"/>
    <ignoredError sqref="N82" formulaRange="1"/>
  </ignoredErrors>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
  <sheetViews>
    <sheetView workbookViewId="0">
      <selection activeCell="A64" sqref="A64"/>
    </sheetView>
  </sheetViews>
  <sheetFormatPr baseColWidth="10" defaultColWidth="8.83203125" defaultRowHeight="15" x14ac:dyDescent="0.2"/>
  <sheetData/>
  <phoneticPr fontId="140" type="noConversion"/>
  <pageMargins left="0.7" right="0.7" top="0.75" bottom="0.75" header="0.3" footer="0.3"/>
  <pageSetup paperSize="9" scale="4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M334"/>
  <sheetViews>
    <sheetView workbookViewId="0">
      <selection activeCell="K18" sqref="K18"/>
    </sheetView>
  </sheetViews>
  <sheetFormatPr baseColWidth="10" defaultColWidth="8.83203125" defaultRowHeight="15" x14ac:dyDescent="0.2"/>
  <cols>
    <col min="1" max="1" width="5.83203125" style="3249" customWidth="1"/>
    <col min="2" max="2" width="5.1640625" style="3249" customWidth="1"/>
    <col min="3" max="3" width="8.6640625" style="3249" customWidth="1"/>
    <col min="4" max="16384" width="8.83203125" style="3249"/>
  </cols>
  <sheetData>
    <row r="1" spans="1:13" x14ac:dyDescent="0.2">
      <c r="A1" s="3248" t="s">
        <v>3176</v>
      </c>
      <c r="B1" s="3248" t="s">
        <v>3183</v>
      </c>
      <c r="C1" s="3248" t="s">
        <v>3223</v>
      </c>
      <c r="D1" s="3248" t="s">
        <v>3178</v>
      </c>
      <c r="E1" s="3248" t="s">
        <v>3210</v>
      </c>
      <c r="F1" s="3248" t="s">
        <v>3211</v>
      </c>
      <c r="G1" s="3248"/>
      <c r="H1" s="3248"/>
      <c r="I1" s="3248"/>
      <c r="K1" s="3248" t="s">
        <v>3179</v>
      </c>
      <c r="L1" s="3248" t="s">
        <v>4447</v>
      </c>
      <c r="M1" s="3248" t="s">
        <v>4448</v>
      </c>
    </row>
    <row r="2" spans="1:13" x14ac:dyDescent="0.2">
      <c r="A2" s="3249">
        <v>1</v>
      </c>
      <c r="B2" s="3249">
        <v>-2</v>
      </c>
      <c r="C2" s="3486" t="s">
        <v>4492</v>
      </c>
      <c r="D2" s="3248" t="s">
        <v>3246</v>
      </c>
      <c r="E2" s="3248" t="s">
        <v>3222</v>
      </c>
      <c r="F2" s="3250">
        <v>30.45</v>
      </c>
      <c r="G2" s="3250"/>
      <c r="H2" s="3250"/>
      <c r="I2" s="3250"/>
      <c r="K2" s="3248" t="s">
        <v>3222</v>
      </c>
      <c r="L2" s="3249">
        <v>-2</v>
      </c>
      <c r="M2" s="3250">
        <f>SUM(F2:F110)</f>
        <v>3333.1499999999946</v>
      </c>
    </row>
    <row r="3" spans="1:13" x14ac:dyDescent="0.2">
      <c r="A3" s="3249">
        <v>2</v>
      </c>
      <c r="B3" s="3249">
        <v>-2</v>
      </c>
      <c r="C3" s="3487"/>
      <c r="D3" s="3248" t="s">
        <v>3247</v>
      </c>
      <c r="E3" s="3248" t="s">
        <v>3222</v>
      </c>
      <c r="F3" s="3250">
        <v>30.45</v>
      </c>
      <c r="G3" s="3250"/>
      <c r="H3" s="3250"/>
      <c r="I3" s="3250"/>
      <c r="L3" s="3249">
        <v>-3</v>
      </c>
      <c r="M3" s="3250">
        <f>SUM(F111:F333)</f>
        <v>6799.3699999999744</v>
      </c>
    </row>
    <row r="4" spans="1:13" x14ac:dyDescent="0.2">
      <c r="A4" s="3249">
        <v>3</v>
      </c>
      <c r="B4" s="3249">
        <v>-2</v>
      </c>
      <c r="C4" s="3487"/>
      <c r="D4" s="3248" t="s">
        <v>3248</v>
      </c>
      <c r="E4" s="3248" t="s">
        <v>3222</v>
      </c>
      <c r="F4" s="3250">
        <v>30.45</v>
      </c>
      <c r="G4" s="3250"/>
      <c r="H4" s="3250"/>
      <c r="I4" s="3250"/>
      <c r="M4" s="3250">
        <f>M2+M3</f>
        <v>10132.51999999997</v>
      </c>
    </row>
    <row r="5" spans="1:13" x14ac:dyDescent="0.2">
      <c r="A5" s="3249">
        <v>4</v>
      </c>
      <c r="B5" s="3249">
        <v>-2</v>
      </c>
      <c r="C5" s="3487"/>
      <c r="D5" s="3248" t="s">
        <v>3249</v>
      </c>
      <c r="E5" s="3248" t="s">
        <v>3222</v>
      </c>
      <c r="F5" s="3250">
        <v>30.45</v>
      </c>
      <c r="G5" s="3250"/>
      <c r="H5" s="3250"/>
      <c r="I5" s="3250"/>
    </row>
    <row r="6" spans="1:13" x14ac:dyDescent="0.2">
      <c r="A6" s="3249">
        <v>5</v>
      </c>
      <c r="B6" s="3249">
        <v>-2</v>
      </c>
      <c r="C6" s="3487"/>
      <c r="D6" s="3248" t="s">
        <v>3250</v>
      </c>
      <c r="E6" s="3248" t="s">
        <v>3222</v>
      </c>
      <c r="F6" s="3250">
        <v>30.45</v>
      </c>
      <c r="G6" s="3250"/>
      <c r="H6" s="3250"/>
      <c r="I6" s="3250"/>
    </row>
    <row r="7" spans="1:13" x14ac:dyDescent="0.2">
      <c r="A7" s="3249">
        <v>6</v>
      </c>
      <c r="B7" s="3249">
        <v>-2</v>
      </c>
      <c r="C7" s="3487"/>
      <c r="D7" s="3248" t="s">
        <v>3251</v>
      </c>
      <c r="E7" s="3248" t="s">
        <v>3222</v>
      </c>
      <c r="F7" s="3250">
        <v>30.45</v>
      </c>
      <c r="G7" s="3250"/>
      <c r="H7" s="3250"/>
      <c r="I7" s="3250"/>
    </row>
    <row r="8" spans="1:13" x14ac:dyDescent="0.2">
      <c r="A8" s="3249">
        <v>7</v>
      </c>
      <c r="B8" s="3249">
        <v>-2</v>
      </c>
      <c r="C8" s="3487"/>
      <c r="D8" s="3248" t="s">
        <v>3252</v>
      </c>
      <c r="E8" s="3248" t="s">
        <v>3222</v>
      </c>
      <c r="F8" s="3250">
        <v>30.45</v>
      </c>
      <c r="G8" s="3250"/>
      <c r="H8" s="3250"/>
      <c r="I8" s="3250"/>
    </row>
    <row r="9" spans="1:13" x14ac:dyDescent="0.2">
      <c r="A9" s="3249">
        <v>8</v>
      </c>
      <c r="B9" s="3249">
        <v>-2</v>
      </c>
      <c r="C9" s="3487"/>
      <c r="D9" s="3248" t="s">
        <v>3253</v>
      </c>
      <c r="E9" s="3248" t="s">
        <v>3222</v>
      </c>
      <c r="F9" s="3250">
        <v>30.45</v>
      </c>
      <c r="G9" s="3250"/>
      <c r="H9" s="3250"/>
      <c r="I9" s="3250"/>
    </row>
    <row r="10" spans="1:13" x14ac:dyDescent="0.2">
      <c r="A10" s="3249">
        <v>9</v>
      </c>
      <c r="B10" s="3249">
        <v>-2</v>
      </c>
      <c r="C10" s="3487"/>
      <c r="D10" s="3248" t="s">
        <v>3254</v>
      </c>
      <c r="E10" s="3248" t="s">
        <v>3222</v>
      </c>
      <c r="F10" s="3250">
        <v>30.45</v>
      </c>
      <c r="G10" s="3250"/>
      <c r="H10" s="3250"/>
      <c r="I10" s="3250"/>
    </row>
    <row r="11" spans="1:13" x14ac:dyDescent="0.2">
      <c r="A11" s="3249">
        <v>10</v>
      </c>
      <c r="B11" s="3249">
        <v>-2</v>
      </c>
      <c r="C11" s="3487"/>
      <c r="D11" s="3248" t="s">
        <v>3255</v>
      </c>
      <c r="E11" s="3248" t="s">
        <v>3222</v>
      </c>
      <c r="F11" s="3250">
        <v>30.45</v>
      </c>
      <c r="G11" s="3250"/>
      <c r="H11" s="3250"/>
      <c r="I11" s="3250"/>
    </row>
    <row r="12" spans="1:13" x14ac:dyDescent="0.2">
      <c r="A12" s="3249">
        <v>11</v>
      </c>
      <c r="B12" s="3249">
        <v>-2</v>
      </c>
      <c r="C12" s="3487"/>
      <c r="D12" s="3248" t="s">
        <v>3256</v>
      </c>
      <c r="E12" s="3248" t="s">
        <v>3222</v>
      </c>
      <c r="F12" s="3250">
        <v>30.45</v>
      </c>
      <c r="G12" s="3250"/>
      <c r="H12" s="3250"/>
      <c r="I12" s="3250"/>
    </row>
    <row r="13" spans="1:13" x14ac:dyDescent="0.2">
      <c r="A13" s="3249">
        <v>12</v>
      </c>
      <c r="B13" s="3249">
        <v>-2</v>
      </c>
      <c r="C13" s="3487"/>
      <c r="D13" s="3248" t="s">
        <v>3257</v>
      </c>
      <c r="E13" s="3248" t="s">
        <v>3222</v>
      </c>
      <c r="F13" s="3250">
        <v>30.45</v>
      </c>
      <c r="G13" s="3250"/>
      <c r="H13" s="3250"/>
      <c r="I13" s="3250"/>
    </row>
    <row r="14" spans="1:13" x14ac:dyDescent="0.2">
      <c r="A14" s="3249">
        <v>13</v>
      </c>
      <c r="B14" s="3249">
        <v>-2</v>
      </c>
      <c r="C14" s="3487"/>
      <c r="D14" s="3248" t="s">
        <v>3258</v>
      </c>
      <c r="E14" s="3248" t="s">
        <v>3222</v>
      </c>
      <c r="F14" s="3250">
        <v>30.45</v>
      </c>
      <c r="G14" s="3250"/>
      <c r="H14" s="3250"/>
      <c r="I14" s="3250"/>
    </row>
    <row r="15" spans="1:13" x14ac:dyDescent="0.2">
      <c r="A15" s="3249">
        <v>14</v>
      </c>
      <c r="B15" s="3249">
        <v>-2</v>
      </c>
      <c r="C15" s="3487"/>
      <c r="D15" s="3248" t="s">
        <v>3259</v>
      </c>
      <c r="E15" s="3248" t="s">
        <v>3222</v>
      </c>
      <c r="F15" s="3250">
        <v>30.45</v>
      </c>
      <c r="G15" s="3250"/>
      <c r="H15" s="3250"/>
      <c r="I15" s="3250"/>
    </row>
    <row r="16" spans="1:13" x14ac:dyDescent="0.2">
      <c r="A16" s="3249">
        <v>15</v>
      </c>
      <c r="B16" s="3249">
        <v>-2</v>
      </c>
      <c r="C16" s="3487"/>
      <c r="D16" s="3248" t="s">
        <v>3260</v>
      </c>
      <c r="E16" s="3248" t="s">
        <v>3222</v>
      </c>
      <c r="F16" s="3250">
        <v>30.45</v>
      </c>
      <c r="G16" s="3250"/>
      <c r="H16" s="3250"/>
      <c r="I16" s="3250"/>
    </row>
    <row r="17" spans="1:9" x14ac:dyDescent="0.2">
      <c r="A17" s="3249">
        <v>16</v>
      </c>
      <c r="B17" s="3249">
        <v>-2</v>
      </c>
      <c r="C17" s="3487"/>
      <c r="D17" s="3248" t="s">
        <v>3261</v>
      </c>
      <c r="E17" s="3248" t="s">
        <v>3222</v>
      </c>
      <c r="F17" s="3250">
        <v>30.45</v>
      </c>
      <c r="G17" s="3250"/>
      <c r="H17" s="3250"/>
      <c r="I17" s="3250"/>
    </row>
    <row r="18" spans="1:9" x14ac:dyDescent="0.2">
      <c r="A18" s="3249">
        <v>17</v>
      </c>
      <c r="B18" s="3249">
        <v>-2</v>
      </c>
      <c r="C18" s="3487"/>
      <c r="D18" s="3248" t="s">
        <v>3262</v>
      </c>
      <c r="E18" s="3248" t="s">
        <v>3222</v>
      </c>
      <c r="F18" s="3250">
        <v>30.45</v>
      </c>
      <c r="G18" s="3250"/>
      <c r="H18" s="3250"/>
      <c r="I18" s="3250"/>
    </row>
    <row r="19" spans="1:9" x14ac:dyDescent="0.2">
      <c r="A19" s="3249">
        <v>18</v>
      </c>
      <c r="B19" s="3249">
        <v>-2</v>
      </c>
      <c r="C19" s="3487"/>
      <c r="D19" s="3248" t="s">
        <v>3263</v>
      </c>
      <c r="E19" s="3248" t="s">
        <v>3222</v>
      </c>
      <c r="F19" s="3250">
        <v>30.45</v>
      </c>
      <c r="G19" s="3250"/>
      <c r="H19" s="3250"/>
      <c r="I19" s="3250"/>
    </row>
    <row r="20" spans="1:9" x14ac:dyDescent="0.2">
      <c r="A20" s="3249">
        <v>19</v>
      </c>
      <c r="B20" s="3249">
        <v>-2</v>
      </c>
      <c r="C20" s="3487"/>
      <c r="D20" s="3248" t="s">
        <v>3264</v>
      </c>
      <c r="E20" s="3248" t="s">
        <v>3222</v>
      </c>
      <c r="F20" s="3250">
        <v>35.53</v>
      </c>
      <c r="G20" s="3250"/>
      <c r="H20" s="3250"/>
      <c r="I20" s="3250"/>
    </row>
    <row r="21" spans="1:9" x14ac:dyDescent="0.2">
      <c r="A21" s="3249">
        <v>20</v>
      </c>
      <c r="B21" s="3249">
        <v>-2</v>
      </c>
      <c r="C21" s="3487"/>
      <c r="D21" s="3248" t="s">
        <v>3265</v>
      </c>
      <c r="E21" s="3248" t="s">
        <v>3222</v>
      </c>
      <c r="F21" s="3250">
        <v>30.45</v>
      </c>
      <c r="G21" s="3250"/>
      <c r="H21" s="3250"/>
      <c r="I21" s="3250"/>
    </row>
    <row r="22" spans="1:9" x14ac:dyDescent="0.2">
      <c r="A22" s="3249">
        <v>21</v>
      </c>
      <c r="B22" s="3249">
        <v>-2</v>
      </c>
      <c r="C22" s="3487"/>
      <c r="D22" s="3248" t="s">
        <v>3266</v>
      </c>
      <c r="E22" s="3248" t="s">
        <v>3222</v>
      </c>
      <c r="F22" s="3250">
        <v>30.45</v>
      </c>
      <c r="G22" s="3250"/>
      <c r="H22" s="3250"/>
      <c r="I22" s="3250"/>
    </row>
    <row r="23" spans="1:9" x14ac:dyDescent="0.2">
      <c r="A23" s="3249">
        <v>22</v>
      </c>
      <c r="B23" s="3249">
        <v>-2</v>
      </c>
      <c r="C23" s="3487"/>
      <c r="D23" s="3248" t="s">
        <v>3267</v>
      </c>
      <c r="E23" s="3248" t="s">
        <v>3222</v>
      </c>
      <c r="F23" s="3250">
        <v>30.45</v>
      </c>
      <c r="G23" s="3250"/>
      <c r="H23" s="3250"/>
      <c r="I23" s="3250"/>
    </row>
    <row r="24" spans="1:9" x14ac:dyDescent="0.2">
      <c r="A24" s="3249">
        <v>23</v>
      </c>
      <c r="B24" s="3249">
        <v>-2</v>
      </c>
      <c r="C24" s="3487"/>
      <c r="D24" s="3249" t="s">
        <v>3268</v>
      </c>
      <c r="E24" s="3248" t="s">
        <v>3222</v>
      </c>
      <c r="F24" s="3250">
        <v>30.45</v>
      </c>
      <c r="G24" s="3250"/>
      <c r="H24" s="3250"/>
      <c r="I24" s="3250"/>
    </row>
    <row r="25" spans="1:9" x14ac:dyDescent="0.2">
      <c r="A25" s="3249">
        <v>24</v>
      </c>
      <c r="B25" s="3249">
        <v>-2</v>
      </c>
      <c r="C25" s="3487"/>
      <c r="D25" s="3249" t="s">
        <v>3269</v>
      </c>
      <c r="E25" s="3248" t="s">
        <v>3222</v>
      </c>
      <c r="F25" s="3250">
        <v>30.45</v>
      </c>
      <c r="G25" s="3250"/>
      <c r="H25" s="3250"/>
      <c r="I25" s="3250"/>
    </row>
    <row r="26" spans="1:9" x14ac:dyDescent="0.2">
      <c r="A26" s="3249">
        <v>25</v>
      </c>
      <c r="B26" s="3249">
        <v>-2</v>
      </c>
      <c r="C26" s="3487"/>
      <c r="D26" s="3249" t="s">
        <v>3270</v>
      </c>
      <c r="E26" s="3248" t="s">
        <v>3222</v>
      </c>
      <c r="F26" s="3250">
        <v>30.45</v>
      </c>
      <c r="G26" s="3250"/>
      <c r="H26" s="3250"/>
      <c r="I26" s="3250"/>
    </row>
    <row r="27" spans="1:9" x14ac:dyDescent="0.2">
      <c r="A27" s="3249">
        <v>26</v>
      </c>
      <c r="B27" s="3249">
        <v>-2</v>
      </c>
      <c r="C27" s="3487"/>
      <c r="D27" s="3249" t="s">
        <v>3271</v>
      </c>
      <c r="E27" s="3248" t="s">
        <v>3222</v>
      </c>
      <c r="F27" s="3250">
        <v>30.45</v>
      </c>
      <c r="G27" s="3250"/>
      <c r="H27" s="3250"/>
      <c r="I27" s="3250"/>
    </row>
    <row r="28" spans="1:9" x14ac:dyDescent="0.2">
      <c r="A28" s="3249">
        <v>27</v>
      </c>
      <c r="B28" s="3249">
        <v>-2</v>
      </c>
      <c r="C28" s="3487"/>
      <c r="D28" s="3249" t="s">
        <v>3272</v>
      </c>
      <c r="E28" s="3248" t="s">
        <v>3222</v>
      </c>
      <c r="F28" s="3250">
        <v>30.45</v>
      </c>
      <c r="G28" s="3250"/>
      <c r="H28" s="3250"/>
      <c r="I28" s="3250"/>
    </row>
    <row r="29" spans="1:9" x14ac:dyDescent="0.2">
      <c r="A29" s="3249">
        <v>28</v>
      </c>
      <c r="B29" s="3249">
        <v>-2</v>
      </c>
      <c r="C29" s="3487"/>
      <c r="D29" s="3249" t="s">
        <v>3273</v>
      </c>
      <c r="E29" s="3248" t="s">
        <v>3222</v>
      </c>
      <c r="F29" s="3250">
        <v>30.45</v>
      </c>
      <c r="G29" s="3250"/>
      <c r="H29" s="3250"/>
      <c r="I29" s="3250"/>
    </row>
    <row r="30" spans="1:9" x14ac:dyDescent="0.2">
      <c r="A30" s="3249">
        <v>29</v>
      </c>
      <c r="B30" s="3249">
        <v>-2</v>
      </c>
      <c r="C30" s="3487"/>
      <c r="D30" s="3249" t="s">
        <v>3274</v>
      </c>
      <c r="E30" s="3248" t="s">
        <v>3222</v>
      </c>
      <c r="F30" s="3250">
        <v>30.45</v>
      </c>
      <c r="G30" s="3250"/>
      <c r="H30" s="3250"/>
      <c r="I30" s="3250"/>
    </row>
    <row r="31" spans="1:9" x14ac:dyDescent="0.2">
      <c r="A31" s="3249">
        <v>30</v>
      </c>
      <c r="B31" s="3249">
        <v>-2</v>
      </c>
      <c r="C31" s="3487"/>
      <c r="D31" s="3249" t="s">
        <v>3275</v>
      </c>
      <c r="E31" s="3248" t="s">
        <v>3222</v>
      </c>
      <c r="F31" s="3250">
        <v>30.45</v>
      </c>
      <c r="G31" s="3250"/>
      <c r="H31" s="3250"/>
      <c r="I31" s="3250"/>
    </row>
    <row r="32" spans="1:9" x14ac:dyDescent="0.2">
      <c r="A32" s="3249">
        <v>31</v>
      </c>
      <c r="B32" s="3249">
        <v>-2</v>
      </c>
      <c r="C32" s="3487"/>
      <c r="D32" s="3249" t="s">
        <v>3276</v>
      </c>
      <c r="E32" s="3248" t="s">
        <v>3222</v>
      </c>
      <c r="F32" s="3250">
        <v>30.45</v>
      </c>
      <c r="G32" s="3250"/>
      <c r="H32" s="3250"/>
      <c r="I32" s="3250"/>
    </row>
    <row r="33" spans="1:9" x14ac:dyDescent="0.2">
      <c r="A33" s="3249">
        <v>32</v>
      </c>
      <c r="B33" s="3249">
        <v>-2</v>
      </c>
      <c r="C33" s="3487"/>
      <c r="D33" s="3249" t="s">
        <v>3277</v>
      </c>
      <c r="E33" s="3248" t="s">
        <v>3222</v>
      </c>
      <c r="F33" s="3250">
        <v>30.45</v>
      </c>
      <c r="G33" s="3250"/>
      <c r="H33" s="3250"/>
      <c r="I33" s="3250"/>
    </row>
    <row r="34" spans="1:9" x14ac:dyDescent="0.2">
      <c r="A34" s="3249">
        <v>33</v>
      </c>
      <c r="B34" s="3249">
        <v>-2</v>
      </c>
      <c r="C34" s="3487"/>
      <c r="D34" s="3249" t="s">
        <v>3278</v>
      </c>
      <c r="E34" s="3248" t="s">
        <v>3222</v>
      </c>
      <c r="F34" s="3250">
        <v>27.41</v>
      </c>
      <c r="G34" s="3250"/>
      <c r="H34" s="3250"/>
      <c r="I34" s="3250"/>
    </row>
    <row r="35" spans="1:9" x14ac:dyDescent="0.2">
      <c r="A35" s="3249">
        <v>34</v>
      </c>
      <c r="B35" s="3249">
        <v>-2</v>
      </c>
      <c r="C35" s="3487"/>
      <c r="D35" s="3249" t="s">
        <v>3279</v>
      </c>
      <c r="E35" s="3248" t="s">
        <v>3222</v>
      </c>
      <c r="F35" s="3250">
        <v>30.45</v>
      </c>
      <c r="G35" s="3250"/>
      <c r="H35" s="3250"/>
      <c r="I35" s="3250"/>
    </row>
    <row r="36" spans="1:9" x14ac:dyDescent="0.2">
      <c r="A36" s="3249">
        <v>35</v>
      </c>
      <c r="B36" s="3249">
        <v>-2</v>
      </c>
      <c r="C36" s="3487"/>
      <c r="D36" s="3249" t="s">
        <v>3280</v>
      </c>
      <c r="E36" s="3248" t="s">
        <v>3222</v>
      </c>
      <c r="F36" s="3250">
        <v>30.45</v>
      </c>
      <c r="G36" s="3250"/>
      <c r="H36" s="3250"/>
      <c r="I36" s="3250"/>
    </row>
    <row r="37" spans="1:9" x14ac:dyDescent="0.2">
      <c r="A37" s="3249">
        <v>36</v>
      </c>
      <c r="B37" s="3249">
        <v>-2</v>
      </c>
      <c r="C37" s="3487"/>
      <c r="D37" s="3249" t="s">
        <v>3281</v>
      </c>
      <c r="E37" s="3248" t="s">
        <v>3222</v>
      </c>
      <c r="F37" s="3250">
        <v>30.45</v>
      </c>
      <c r="G37" s="3250"/>
      <c r="H37" s="3250"/>
      <c r="I37" s="3250"/>
    </row>
    <row r="38" spans="1:9" x14ac:dyDescent="0.2">
      <c r="A38" s="3249">
        <v>37</v>
      </c>
      <c r="B38" s="3249">
        <v>-2</v>
      </c>
      <c r="C38" s="3487"/>
      <c r="D38" s="3249" t="s">
        <v>3282</v>
      </c>
      <c r="E38" s="3248" t="s">
        <v>3222</v>
      </c>
      <c r="F38" s="3250">
        <v>30.45</v>
      </c>
      <c r="G38" s="3250"/>
      <c r="H38" s="3250"/>
      <c r="I38" s="3250"/>
    </row>
    <row r="39" spans="1:9" x14ac:dyDescent="0.2">
      <c r="A39" s="3249">
        <v>38</v>
      </c>
      <c r="B39" s="3249">
        <v>-2</v>
      </c>
      <c r="C39" s="3487"/>
      <c r="D39" s="3249" t="s">
        <v>3283</v>
      </c>
      <c r="E39" s="3248" t="s">
        <v>3222</v>
      </c>
      <c r="F39" s="3250">
        <v>30.45</v>
      </c>
      <c r="G39" s="3250"/>
      <c r="H39" s="3250"/>
      <c r="I39" s="3250"/>
    </row>
    <row r="40" spans="1:9" x14ac:dyDescent="0.2">
      <c r="A40" s="3249">
        <v>39</v>
      </c>
      <c r="B40" s="3249">
        <v>-2</v>
      </c>
      <c r="C40" s="3487"/>
      <c r="D40" s="3249" t="s">
        <v>3284</v>
      </c>
      <c r="E40" s="3248" t="s">
        <v>3222</v>
      </c>
      <c r="F40" s="3250">
        <v>30.45</v>
      </c>
      <c r="G40" s="3250"/>
      <c r="H40" s="3250"/>
      <c r="I40" s="3250"/>
    </row>
    <row r="41" spans="1:9" x14ac:dyDescent="0.2">
      <c r="A41" s="3249">
        <v>40</v>
      </c>
      <c r="B41" s="3249">
        <v>-2</v>
      </c>
      <c r="C41" s="3487"/>
      <c r="D41" s="3249" t="s">
        <v>3285</v>
      </c>
      <c r="E41" s="3248" t="s">
        <v>3222</v>
      </c>
      <c r="F41" s="3250">
        <v>30.45</v>
      </c>
      <c r="G41" s="3250"/>
      <c r="H41" s="3250"/>
      <c r="I41" s="3250"/>
    </row>
    <row r="42" spans="1:9" x14ac:dyDescent="0.2">
      <c r="A42" s="3249">
        <v>41</v>
      </c>
      <c r="B42" s="3249">
        <v>-2</v>
      </c>
      <c r="C42" s="3487"/>
      <c r="D42" s="3249" t="s">
        <v>3286</v>
      </c>
      <c r="E42" s="3248" t="s">
        <v>3222</v>
      </c>
      <c r="F42" s="3250">
        <v>30.45</v>
      </c>
      <c r="G42" s="3250"/>
      <c r="H42" s="3250"/>
      <c r="I42" s="3250"/>
    </row>
    <row r="43" spans="1:9" x14ac:dyDescent="0.2">
      <c r="A43" s="3249">
        <v>42</v>
      </c>
      <c r="B43" s="3249">
        <v>-2</v>
      </c>
      <c r="C43" s="3487"/>
      <c r="D43" s="3249" t="s">
        <v>3287</v>
      </c>
      <c r="E43" s="3248" t="s">
        <v>3222</v>
      </c>
      <c r="F43" s="3250">
        <v>30.45</v>
      </c>
      <c r="G43" s="3250"/>
      <c r="H43" s="3250"/>
      <c r="I43" s="3250"/>
    </row>
    <row r="44" spans="1:9" x14ac:dyDescent="0.2">
      <c r="A44" s="3249">
        <v>43</v>
      </c>
      <c r="B44" s="3249">
        <v>-2</v>
      </c>
      <c r="C44" s="3487"/>
      <c r="D44" s="3249" t="s">
        <v>3288</v>
      </c>
      <c r="E44" s="3248" t="s">
        <v>3222</v>
      </c>
      <c r="F44" s="3250">
        <v>30.45</v>
      </c>
      <c r="G44" s="3250"/>
      <c r="H44" s="3250"/>
      <c r="I44" s="3250"/>
    </row>
    <row r="45" spans="1:9" x14ac:dyDescent="0.2">
      <c r="A45" s="3249">
        <v>44</v>
      </c>
      <c r="B45" s="3249">
        <v>-2</v>
      </c>
      <c r="C45" s="3487"/>
      <c r="D45" s="3249" t="s">
        <v>3289</v>
      </c>
      <c r="E45" s="3248" t="s">
        <v>3222</v>
      </c>
      <c r="F45" s="3250">
        <v>30.45</v>
      </c>
      <c r="G45" s="3250"/>
      <c r="H45" s="3250"/>
      <c r="I45" s="3250"/>
    </row>
    <row r="46" spans="1:9" x14ac:dyDescent="0.2">
      <c r="A46" s="3249">
        <v>45</v>
      </c>
      <c r="B46" s="3249">
        <v>-2</v>
      </c>
      <c r="C46" s="3487"/>
      <c r="D46" s="3249" t="s">
        <v>3290</v>
      </c>
      <c r="E46" s="3248" t="s">
        <v>3222</v>
      </c>
      <c r="F46" s="3250">
        <v>30.45</v>
      </c>
      <c r="G46" s="3250"/>
      <c r="H46" s="3250"/>
      <c r="I46" s="3250"/>
    </row>
    <row r="47" spans="1:9" x14ac:dyDescent="0.2">
      <c r="A47" s="3249">
        <v>46</v>
      </c>
      <c r="B47" s="3249">
        <v>-2</v>
      </c>
      <c r="C47" s="3487"/>
      <c r="D47" s="3249" t="s">
        <v>3291</v>
      </c>
      <c r="E47" s="3248" t="s">
        <v>3222</v>
      </c>
      <c r="F47" s="3250">
        <v>30.45</v>
      </c>
      <c r="G47" s="3250"/>
      <c r="H47" s="3250"/>
      <c r="I47" s="3250"/>
    </row>
    <row r="48" spans="1:9" x14ac:dyDescent="0.2">
      <c r="A48" s="3249">
        <v>47</v>
      </c>
      <c r="B48" s="3249">
        <v>-2</v>
      </c>
      <c r="C48" s="3487"/>
      <c r="D48" s="3249" t="s">
        <v>3292</v>
      </c>
      <c r="E48" s="3248" t="s">
        <v>3222</v>
      </c>
      <c r="F48" s="3250">
        <v>30.45</v>
      </c>
      <c r="G48" s="3250"/>
      <c r="H48" s="3250"/>
      <c r="I48" s="3250"/>
    </row>
    <row r="49" spans="1:9" x14ac:dyDescent="0.2">
      <c r="A49" s="3249">
        <v>48</v>
      </c>
      <c r="B49" s="3249">
        <v>-2</v>
      </c>
      <c r="C49" s="3487"/>
      <c r="D49" s="3249" t="s">
        <v>3293</v>
      </c>
      <c r="E49" s="3248" t="s">
        <v>3222</v>
      </c>
      <c r="F49" s="3250">
        <v>30.45</v>
      </c>
      <c r="G49" s="3250"/>
      <c r="H49" s="3250"/>
      <c r="I49" s="3250"/>
    </row>
    <row r="50" spans="1:9" x14ac:dyDescent="0.2">
      <c r="A50" s="3249">
        <v>49</v>
      </c>
      <c r="B50" s="3249">
        <v>-2</v>
      </c>
      <c r="C50" s="3487"/>
      <c r="D50" s="3249" t="s">
        <v>3294</v>
      </c>
      <c r="E50" s="3248" t="s">
        <v>3222</v>
      </c>
      <c r="F50" s="3250">
        <v>30.45</v>
      </c>
      <c r="G50" s="3250"/>
      <c r="H50" s="3250"/>
      <c r="I50" s="3250"/>
    </row>
    <row r="51" spans="1:9" x14ac:dyDescent="0.2">
      <c r="A51" s="3249">
        <v>50</v>
      </c>
      <c r="B51" s="3249">
        <v>-2</v>
      </c>
      <c r="C51" s="3487"/>
      <c r="D51" s="3249" t="s">
        <v>3295</v>
      </c>
      <c r="E51" s="3248" t="s">
        <v>3222</v>
      </c>
      <c r="F51" s="3250">
        <v>30.45</v>
      </c>
      <c r="G51" s="3250"/>
      <c r="H51" s="3250"/>
      <c r="I51" s="3250"/>
    </row>
    <row r="52" spans="1:9" x14ac:dyDescent="0.2">
      <c r="A52" s="3249">
        <v>51</v>
      </c>
      <c r="B52" s="3249">
        <v>-2</v>
      </c>
      <c r="C52" s="3487"/>
      <c r="D52" s="3249" t="s">
        <v>3296</v>
      </c>
      <c r="E52" s="3248" t="s">
        <v>3222</v>
      </c>
      <c r="F52" s="3250">
        <v>30.45</v>
      </c>
      <c r="G52" s="3250"/>
      <c r="H52" s="3250"/>
      <c r="I52" s="3250"/>
    </row>
    <row r="53" spans="1:9" x14ac:dyDescent="0.2">
      <c r="A53" s="3249">
        <v>52</v>
      </c>
      <c r="B53" s="3249">
        <v>-2</v>
      </c>
      <c r="C53" s="3487"/>
      <c r="D53" s="3249" t="s">
        <v>3297</v>
      </c>
      <c r="E53" s="3248" t="s">
        <v>3222</v>
      </c>
      <c r="F53" s="3250">
        <v>30.45</v>
      </c>
      <c r="G53" s="3250"/>
      <c r="H53" s="3250"/>
      <c r="I53" s="3250"/>
    </row>
    <row r="54" spans="1:9" x14ac:dyDescent="0.2">
      <c r="A54" s="3249">
        <v>53</v>
      </c>
      <c r="B54" s="3249">
        <v>-2</v>
      </c>
      <c r="C54" s="3487"/>
      <c r="D54" s="3249" t="s">
        <v>3298</v>
      </c>
      <c r="E54" s="3248" t="s">
        <v>3222</v>
      </c>
      <c r="F54" s="3250">
        <v>30.45</v>
      </c>
      <c r="G54" s="3250"/>
      <c r="H54" s="3250"/>
      <c r="I54" s="3250"/>
    </row>
    <row r="55" spans="1:9" x14ac:dyDescent="0.2">
      <c r="A55" s="3249">
        <v>54</v>
      </c>
      <c r="B55" s="3249">
        <v>-2</v>
      </c>
      <c r="C55" s="3487"/>
      <c r="D55" s="3249" t="s">
        <v>3299</v>
      </c>
      <c r="E55" s="3248" t="s">
        <v>3222</v>
      </c>
      <c r="F55" s="3250">
        <v>30.45</v>
      </c>
      <c r="G55" s="3250"/>
      <c r="H55" s="3250"/>
      <c r="I55" s="3250"/>
    </row>
    <row r="56" spans="1:9" x14ac:dyDescent="0.2">
      <c r="A56" s="3249">
        <v>55</v>
      </c>
      <c r="B56" s="3249">
        <v>-2</v>
      </c>
      <c r="C56" s="3487"/>
      <c r="D56" s="3249" t="s">
        <v>3300</v>
      </c>
      <c r="E56" s="3248" t="s">
        <v>3222</v>
      </c>
      <c r="F56" s="3250">
        <v>30.45</v>
      </c>
      <c r="G56" s="3250"/>
      <c r="H56" s="3250"/>
      <c r="I56" s="3250"/>
    </row>
    <row r="57" spans="1:9" x14ac:dyDescent="0.2">
      <c r="A57" s="3249">
        <v>56</v>
      </c>
      <c r="B57" s="3249">
        <v>-2</v>
      </c>
      <c r="C57" s="3487"/>
      <c r="D57" s="3249" t="s">
        <v>3301</v>
      </c>
      <c r="E57" s="3248" t="s">
        <v>3222</v>
      </c>
      <c r="F57" s="3250">
        <v>30.45</v>
      </c>
      <c r="G57" s="3250"/>
      <c r="H57" s="3250"/>
      <c r="I57" s="3250"/>
    </row>
    <row r="58" spans="1:9" x14ac:dyDescent="0.2">
      <c r="A58" s="3249">
        <v>57</v>
      </c>
      <c r="B58" s="3249">
        <v>-2</v>
      </c>
      <c r="C58" s="3487"/>
      <c r="D58" s="3249" t="s">
        <v>3302</v>
      </c>
      <c r="E58" s="3248" t="s">
        <v>3222</v>
      </c>
      <c r="F58" s="3250">
        <v>30.45</v>
      </c>
      <c r="G58" s="3250"/>
      <c r="H58" s="3250"/>
      <c r="I58" s="3250"/>
    </row>
    <row r="59" spans="1:9" x14ac:dyDescent="0.2">
      <c r="A59" s="3249">
        <v>58</v>
      </c>
      <c r="B59" s="3249">
        <v>-2</v>
      </c>
      <c r="C59" s="3487"/>
      <c r="D59" s="3249" t="s">
        <v>3303</v>
      </c>
      <c r="E59" s="3248" t="s">
        <v>3222</v>
      </c>
      <c r="F59" s="3250">
        <v>30.45</v>
      </c>
      <c r="G59" s="3250"/>
      <c r="H59" s="3250"/>
      <c r="I59" s="3250"/>
    </row>
    <row r="60" spans="1:9" x14ac:dyDescent="0.2">
      <c r="A60" s="3249">
        <v>59</v>
      </c>
      <c r="B60" s="3249">
        <v>-2</v>
      </c>
      <c r="C60" s="3487"/>
      <c r="D60" s="3249" t="s">
        <v>3304</v>
      </c>
      <c r="E60" s="3248" t="s">
        <v>3222</v>
      </c>
      <c r="F60" s="3250">
        <v>30.45</v>
      </c>
      <c r="G60" s="3250"/>
      <c r="H60" s="3250"/>
      <c r="I60" s="3250"/>
    </row>
    <row r="61" spans="1:9" x14ac:dyDescent="0.2">
      <c r="A61" s="3249">
        <v>60</v>
      </c>
      <c r="B61" s="3249">
        <v>-2</v>
      </c>
      <c r="C61" s="3487"/>
      <c r="D61" s="3249" t="s">
        <v>3305</v>
      </c>
      <c r="E61" s="3248" t="s">
        <v>3222</v>
      </c>
      <c r="F61" s="3250">
        <v>30.45</v>
      </c>
      <c r="G61" s="3250"/>
      <c r="H61" s="3250"/>
      <c r="I61" s="3250"/>
    </row>
    <row r="62" spans="1:9" x14ac:dyDescent="0.2">
      <c r="A62" s="3249">
        <v>61</v>
      </c>
      <c r="B62" s="3249">
        <v>-2</v>
      </c>
      <c r="C62" s="3487"/>
      <c r="D62" s="3249" t="s">
        <v>3306</v>
      </c>
      <c r="E62" s="3248" t="s">
        <v>3222</v>
      </c>
      <c r="F62" s="3250">
        <v>30.45</v>
      </c>
      <c r="G62" s="3250"/>
      <c r="H62" s="3250"/>
      <c r="I62" s="3250"/>
    </row>
    <row r="63" spans="1:9" x14ac:dyDescent="0.2">
      <c r="A63" s="3249">
        <v>62</v>
      </c>
      <c r="B63" s="3249">
        <v>-2</v>
      </c>
      <c r="C63" s="3487"/>
      <c r="D63" s="3249" t="s">
        <v>3307</v>
      </c>
      <c r="E63" s="3248" t="s">
        <v>3222</v>
      </c>
      <c r="F63" s="3250">
        <v>30.45</v>
      </c>
      <c r="G63" s="3250"/>
      <c r="H63" s="3250"/>
      <c r="I63" s="3250"/>
    </row>
    <row r="64" spans="1:9" x14ac:dyDescent="0.2">
      <c r="A64" s="3249">
        <v>63</v>
      </c>
      <c r="B64" s="3249">
        <v>-2</v>
      </c>
      <c r="C64" s="3487"/>
      <c r="D64" s="3249" t="s">
        <v>3308</v>
      </c>
      <c r="E64" s="3248" t="s">
        <v>3222</v>
      </c>
      <c r="F64" s="3250">
        <v>30.45</v>
      </c>
      <c r="G64" s="3250"/>
      <c r="H64" s="3250"/>
      <c r="I64" s="3250"/>
    </row>
    <row r="65" spans="1:9" x14ac:dyDescent="0.2">
      <c r="A65" s="3249">
        <v>64</v>
      </c>
      <c r="B65" s="3249">
        <v>-2</v>
      </c>
      <c r="C65" s="3487"/>
      <c r="D65" s="3249" t="s">
        <v>3309</v>
      </c>
      <c r="E65" s="3248" t="s">
        <v>3222</v>
      </c>
      <c r="F65" s="3250">
        <v>30.45</v>
      </c>
      <c r="G65" s="3250"/>
      <c r="H65" s="3250"/>
      <c r="I65" s="3250"/>
    </row>
    <row r="66" spans="1:9" x14ac:dyDescent="0.2">
      <c r="A66" s="3249">
        <v>65</v>
      </c>
      <c r="B66" s="3249">
        <v>-2</v>
      </c>
      <c r="C66" s="3487"/>
      <c r="D66" s="3249" t="s">
        <v>3310</v>
      </c>
      <c r="E66" s="3248" t="s">
        <v>3222</v>
      </c>
      <c r="F66" s="3250">
        <v>30.45</v>
      </c>
      <c r="G66" s="3250"/>
      <c r="H66" s="3250"/>
      <c r="I66" s="3250"/>
    </row>
    <row r="67" spans="1:9" x14ac:dyDescent="0.2">
      <c r="A67" s="3249">
        <v>66</v>
      </c>
      <c r="B67" s="3249">
        <v>-2</v>
      </c>
      <c r="C67" s="3487"/>
      <c r="D67" s="3249" t="s">
        <v>3311</v>
      </c>
      <c r="E67" s="3248" t="s">
        <v>3222</v>
      </c>
      <c r="F67" s="3250">
        <v>30.45</v>
      </c>
      <c r="G67" s="3250"/>
      <c r="H67" s="3250"/>
      <c r="I67" s="3250"/>
    </row>
    <row r="68" spans="1:9" x14ac:dyDescent="0.2">
      <c r="A68" s="3249">
        <v>67</v>
      </c>
      <c r="B68" s="3249">
        <v>-2</v>
      </c>
      <c r="C68" s="3487"/>
      <c r="D68" s="3249" t="s">
        <v>3312</v>
      </c>
      <c r="E68" s="3248" t="s">
        <v>3222</v>
      </c>
      <c r="F68" s="3250">
        <v>30.45</v>
      </c>
      <c r="G68" s="3250"/>
      <c r="H68" s="3250"/>
      <c r="I68" s="3250"/>
    </row>
    <row r="69" spans="1:9" x14ac:dyDescent="0.2">
      <c r="A69" s="3249">
        <v>68</v>
      </c>
      <c r="B69" s="3249">
        <v>-2</v>
      </c>
      <c r="C69" s="3487"/>
      <c r="D69" s="3249" t="s">
        <v>3313</v>
      </c>
      <c r="E69" s="3248" t="s">
        <v>3222</v>
      </c>
      <c r="F69" s="3250">
        <v>30.45</v>
      </c>
      <c r="G69" s="3250"/>
      <c r="H69" s="3250"/>
      <c r="I69" s="3250"/>
    </row>
    <row r="70" spans="1:9" x14ac:dyDescent="0.2">
      <c r="A70" s="3249">
        <v>69</v>
      </c>
      <c r="B70" s="3249">
        <v>-2</v>
      </c>
      <c r="C70" s="3487"/>
      <c r="D70" s="3249" t="s">
        <v>3314</v>
      </c>
      <c r="E70" s="3248" t="s">
        <v>3222</v>
      </c>
      <c r="F70" s="3250">
        <v>30.45</v>
      </c>
      <c r="G70" s="3250"/>
      <c r="H70" s="3250"/>
      <c r="I70" s="3250"/>
    </row>
    <row r="71" spans="1:9" x14ac:dyDescent="0.2">
      <c r="A71" s="3249">
        <v>70</v>
      </c>
      <c r="B71" s="3249">
        <v>-2</v>
      </c>
      <c r="C71" s="3487"/>
      <c r="D71" s="3249" t="s">
        <v>3315</v>
      </c>
      <c r="E71" s="3248" t="s">
        <v>3222</v>
      </c>
      <c r="F71" s="3250">
        <v>30.45</v>
      </c>
      <c r="G71" s="3250"/>
      <c r="H71" s="3250"/>
      <c r="I71" s="3250"/>
    </row>
    <row r="72" spans="1:9" x14ac:dyDescent="0.2">
      <c r="A72" s="3249">
        <v>71</v>
      </c>
      <c r="B72" s="3249">
        <v>-2</v>
      </c>
      <c r="C72" s="3487"/>
      <c r="D72" s="3249" t="s">
        <v>3316</v>
      </c>
      <c r="E72" s="3248" t="s">
        <v>3222</v>
      </c>
      <c r="F72" s="3250">
        <v>30.45</v>
      </c>
      <c r="G72" s="3250"/>
      <c r="H72" s="3250"/>
      <c r="I72" s="3250"/>
    </row>
    <row r="73" spans="1:9" x14ac:dyDescent="0.2">
      <c r="A73" s="3249">
        <v>72</v>
      </c>
      <c r="B73" s="3249">
        <v>-2</v>
      </c>
      <c r="C73" s="3487"/>
      <c r="D73" s="3249" t="s">
        <v>3317</v>
      </c>
      <c r="E73" s="3248" t="s">
        <v>3222</v>
      </c>
      <c r="F73" s="3250">
        <v>30.45</v>
      </c>
      <c r="G73" s="3250"/>
      <c r="H73" s="3250"/>
      <c r="I73" s="3250"/>
    </row>
    <row r="74" spans="1:9" x14ac:dyDescent="0.2">
      <c r="A74" s="3249">
        <v>73</v>
      </c>
      <c r="B74" s="3249">
        <v>-2</v>
      </c>
      <c r="C74" s="3487"/>
      <c r="D74" s="3249" t="s">
        <v>3318</v>
      </c>
      <c r="E74" s="3248" t="s">
        <v>3222</v>
      </c>
      <c r="F74" s="3250">
        <v>30.45</v>
      </c>
      <c r="G74" s="3250"/>
      <c r="H74" s="3250"/>
      <c r="I74" s="3250"/>
    </row>
    <row r="75" spans="1:9" x14ac:dyDescent="0.2">
      <c r="A75" s="3249">
        <v>74</v>
      </c>
      <c r="B75" s="3249">
        <v>-2</v>
      </c>
      <c r="C75" s="3487"/>
      <c r="D75" s="3249" t="s">
        <v>3319</v>
      </c>
      <c r="E75" s="3248" t="s">
        <v>3222</v>
      </c>
      <c r="F75" s="3250">
        <v>30.45</v>
      </c>
      <c r="G75" s="3250"/>
      <c r="H75" s="3250"/>
      <c r="I75" s="3250"/>
    </row>
    <row r="76" spans="1:9" x14ac:dyDescent="0.2">
      <c r="A76" s="3249">
        <v>75</v>
      </c>
      <c r="B76" s="3249">
        <v>-2</v>
      </c>
      <c r="C76" s="3487"/>
      <c r="D76" s="3249" t="s">
        <v>3320</v>
      </c>
      <c r="E76" s="3248" t="s">
        <v>3222</v>
      </c>
      <c r="F76" s="3250">
        <v>30.45</v>
      </c>
      <c r="G76" s="3250"/>
      <c r="H76" s="3250"/>
      <c r="I76" s="3250"/>
    </row>
    <row r="77" spans="1:9" x14ac:dyDescent="0.2">
      <c r="A77" s="3249">
        <v>76</v>
      </c>
      <c r="B77" s="3249">
        <v>-2</v>
      </c>
      <c r="C77" s="3487"/>
      <c r="D77" s="3249" t="s">
        <v>3321</v>
      </c>
      <c r="E77" s="3248" t="s">
        <v>3222</v>
      </c>
      <c r="F77" s="3250">
        <v>30.45</v>
      </c>
      <c r="G77" s="3250"/>
      <c r="H77" s="3250"/>
      <c r="I77" s="3250"/>
    </row>
    <row r="78" spans="1:9" x14ac:dyDescent="0.2">
      <c r="A78" s="3249">
        <v>77</v>
      </c>
      <c r="B78" s="3249">
        <v>-2</v>
      </c>
      <c r="C78" s="3487"/>
      <c r="D78" s="3249" t="s">
        <v>3322</v>
      </c>
      <c r="E78" s="3248" t="s">
        <v>3222</v>
      </c>
      <c r="F78" s="3250">
        <v>30.45</v>
      </c>
      <c r="G78" s="3250"/>
      <c r="H78" s="3250"/>
      <c r="I78" s="3250"/>
    </row>
    <row r="79" spans="1:9" x14ac:dyDescent="0.2">
      <c r="A79" s="3249">
        <v>78</v>
      </c>
      <c r="B79" s="3249">
        <v>-2</v>
      </c>
      <c r="C79" s="3487"/>
      <c r="D79" s="3249" t="s">
        <v>3323</v>
      </c>
      <c r="E79" s="3248" t="s">
        <v>3222</v>
      </c>
      <c r="F79" s="3250">
        <v>30.45</v>
      </c>
      <c r="G79" s="3250"/>
      <c r="H79" s="3250"/>
      <c r="I79" s="3250"/>
    </row>
    <row r="80" spans="1:9" x14ac:dyDescent="0.2">
      <c r="A80" s="3249">
        <v>79</v>
      </c>
      <c r="B80" s="3249">
        <v>-2</v>
      </c>
      <c r="C80" s="3487"/>
      <c r="D80" s="3249" t="s">
        <v>3324</v>
      </c>
      <c r="E80" s="3248" t="s">
        <v>3222</v>
      </c>
      <c r="F80" s="3250">
        <v>30.45</v>
      </c>
      <c r="G80" s="3250"/>
      <c r="H80" s="3250"/>
      <c r="I80" s="3250"/>
    </row>
    <row r="81" spans="1:9" x14ac:dyDescent="0.2">
      <c r="A81" s="3249">
        <v>80</v>
      </c>
      <c r="B81" s="3249">
        <v>-2</v>
      </c>
      <c r="C81" s="3487"/>
      <c r="D81" s="3249" t="s">
        <v>3325</v>
      </c>
      <c r="E81" s="3248" t="s">
        <v>3222</v>
      </c>
      <c r="F81" s="3250">
        <v>30.45</v>
      </c>
      <c r="G81" s="3250"/>
      <c r="H81" s="3250"/>
      <c r="I81" s="3250"/>
    </row>
    <row r="82" spans="1:9" x14ac:dyDescent="0.2">
      <c r="A82" s="3249">
        <v>81</v>
      </c>
      <c r="B82" s="3249">
        <v>-2</v>
      </c>
      <c r="C82" s="3487"/>
      <c r="D82" s="3249" t="s">
        <v>3326</v>
      </c>
      <c r="E82" s="3248" t="s">
        <v>3222</v>
      </c>
      <c r="F82" s="3250">
        <v>30.45</v>
      </c>
      <c r="G82" s="3250"/>
      <c r="H82" s="3250"/>
      <c r="I82" s="3250"/>
    </row>
    <row r="83" spans="1:9" x14ac:dyDescent="0.2">
      <c r="A83" s="3249">
        <v>82</v>
      </c>
      <c r="B83" s="3249">
        <v>-2</v>
      </c>
      <c r="C83" s="3487"/>
      <c r="D83" s="3249" t="s">
        <v>3327</v>
      </c>
      <c r="E83" s="3248" t="s">
        <v>3222</v>
      </c>
      <c r="F83" s="3250">
        <v>30.45</v>
      </c>
      <c r="G83" s="3250"/>
      <c r="H83" s="3250"/>
      <c r="I83" s="3250"/>
    </row>
    <row r="84" spans="1:9" x14ac:dyDescent="0.2">
      <c r="A84" s="3249">
        <v>83</v>
      </c>
      <c r="B84" s="3249">
        <v>-2</v>
      </c>
      <c r="C84" s="3487"/>
      <c r="D84" s="3249" t="s">
        <v>3328</v>
      </c>
      <c r="E84" s="3248" t="s">
        <v>3222</v>
      </c>
      <c r="F84" s="3250">
        <v>42.51</v>
      </c>
      <c r="G84" s="3250"/>
      <c r="H84" s="3250"/>
      <c r="I84" s="3250"/>
    </row>
    <row r="85" spans="1:9" x14ac:dyDescent="0.2">
      <c r="A85" s="3249">
        <v>84</v>
      </c>
      <c r="B85" s="3249">
        <v>-2</v>
      </c>
      <c r="C85" s="3487"/>
      <c r="D85" s="3249" t="s">
        <v>3329</v>
      </c>
      <c r="E85" s="3248" t="s">
        <v>3222</v>
      </c>
      <c r="F85" s="3250">
        <v>30.45</v>
      </c>
      <c r="G85" s="3250"/>
      <c r="H85" s="3250"/>
      <c r="I85" s="3250"/>
    </row>
    <row r="86" spans="1:9" x14ac:dyDescent="0.2">
      <c r="A86" s="3249">
        <v>85</v>
      </c>
      <c r="B86" s="3249">
        <v>-2</v>
      </c>
      <c r="C86" s="3487"/>
      <c r="D86" s="3249" t="s">
        <v>3330</v>
      </c>
      <c r="E86" s="3248" t="s">
        <v>3222</v>
      </c>
      <c r="F86" s="3250">
        <v>30.45</v>
      </c>
      <c r="G86" s="3250"/>
      <c r="H86" s="3250"/>
      <c r="I86" s="3250"/>
    </row>
    <row r="87" spans="1:9" x14ac:dyDescent="0.2">
      <c r="A87" s="3249">
        <v>86</v>
      </c>
      <c r="B87" s="3249">
        <v>-2</v>
      </c>
      <c r="C87" s="3487"/>
      <c r="D87" s="3249" t="s">
        <v>3331</v>
      </c>
      <c r="E87" s="3248" t="s">
        <v>3222</v>
      </c>
      <c r="F87" s="3250">
        <v>30.45</v>
      </c>
      <c r="G87" s="3250"/>
      <c r="H87" s="3250"/>
      <c r="I87" s="3250"/>
    </row>
    <row r="88" spans="1:9" x14ac:dyDescent="0.2">
      <c r="A88" s="3249">
        <v>87</v>
      </c>
      <c r="B88" s="3249">
        <v>-2</v>
      </c>
      <c r="C88" s="3487"/>
      <c r="D88" s="3249" t="s">
        <v>3332</v>
      </c>
      <c r="E88" s="3248" t="s">
        <v>3222</v>
      </c>
      <c r="F88" s="3250">
        <v>30.45</v>
      </c>
      <c r="G88" s="3250"/>
      <c r="H88" s="3250"/>
      <c r="I88" s="3250"/>
    </row>
    <row r="89" spans="1:9" x14ac:dyDescent="0.2">
      <c r="A89" s="3249">
        <v>88</v>
      </c>
      <c r="B89" s="3249">
        <v>-2</v>
      </c>
      <c r="C89" s="3487"/>
      <c r="D89" s="3249" t="s">
        <v>3333</v>
      </c>
      <c r="E89" s="3248" t="s">
        <v>3222</v>
      </c>
      <c r="F89" s="3250">
        <v>30.45</v>
      </c>
      <c r="G89" s="3250"/>
      <c r="H89" s="3250"/>
      <c r="I89" s="3250"/>
    </row>
    <row r="90" spans="1:9" x14ac:dyDescent="0.2">
      <c r="A90" s="3249">
        <v>89</v>
      </c>
      <c r="B90" s="3249">
        <v>-2</v>
      </c>
      <c r="C90" s="3487"/>
      <c r="D90" s="3249" t="s">
        <v>3334</v>
      </c>
      <c r="E90" s="3248" t="s">
        <v>3222</v>
      </c>
      <c r="F90" s="3250">
        <v>30.45</v>
      </c>
      <c r="G90" s="3250"/>
      <c r="H90" s="3250"/>
      <c r="I90" s="3250"/>
    </row>
    <row r="91" spans="1:9" x14ac:dyDescent="0.2">
      <c r="A91" s="3249">
        <v>90</v>
      </c>
      <c r="B91" s="3249">
        <v>-2</v>
      </c>
      <c r="C91" s="3487"/>
      <c r="D91" s="3249" t="s">
        <v>3335</v>
      </c>
      <c r="E91" s="3248" t="s">
        <v>3222</v>
      </c>
      <c r="F91" s="3250">
        <v>30.45</v>
      </c>
      <c r="G91" s="3250"/>
      <c r="H91" s="3250"/>
      <c r="I91" s="3250"/>
    </row>
    <row r="92" spans="1:9" x14ac:dyDescent="0.2">
      <c r="A92" s="3249">
        <v>91</v>
      </c>
      <c r="B92" s="3249">
        <v>-2</v>
      </c>
      <c r="C92" s="3487"/>
      <c r="D92" s="3249" t="s">
        <v>3336</v>
      </c>
      <c r="E92" s="3248" t="s">
        <v>3222</v>
      </c>
      <c r="F92" s="3250">
        <v>30.45</v>
      </c>
      <c r="G92" s="3250"/>
      <c r="H92" s="3250"/>
      <c r="I92" s="3250"/>
    </row>
    <row r="93" spans="1:9" x14ac:dyDescent="0.2">
      <c r="A93" s="3249">
        <v>92</v>
      </c>
      <c r="B93" s="3249">
        <v>-2</v>
      </c>
      <c r="C93" s="3487"/>
      <c r="D93" s="3249" t="s">
        <v>3337</v>
      </c>
      <c r="E93" s="3248" t="s">
        <v>3222</v>
      </c>
      <c r="F93" s="3250">
        <v>30.45</v>
      </c>
      <c r="G93" s="3250"/>
      <c r="H93" s="3250"/>
      <c r="I93" s="3250"/>
    </row>
    <row r="94" spans="1:9" x14ac:dyDescent="0.2">
      <c r="A94" s="3249">
        <v>93</v>
      </c>
      <c r="B94" s="3249">
        <v>-2</v>
      </c>
      <c r="C94" s="3487"/>
      <c r="D94" s="3249" t="s">
        <v>3338</v>
      </c>
      <c r="E94" s="3248" t="s">
        <v>3222</v>
      </c>
      <c r="F94" s="3250">
        <v>30.45</v>
      </c>
      <c r="G94" s="3250"/>
      <c r="H94" s="3250"/>
      <c r="I94" s="3250"/>
    </row>
    <row r="95" spans="1:9" x14ac:dyDescent="0.2">
      <c r="A95" s="3249">
        <v>94</v>
      </c>
      <c r="B95" s="3249">
        <v>-2</v>
      </c>
      <c r="C95" s="3487"/>
      <c r="D95" s="3249" t="s">
        <v>3339</v>
      </c>
      <c r="E95" s="3248" t="s">
        <v>3222</v>
      </c>
      <c r="F95" s="3250">
        <v>30.45</v>
      </c>
      <c r="G95" s="3250"/>
      <c r="H95" s="3250"/>
      <c r="I95" s="3250"/>
    </row>
    <row r="96" spans="1:9" x14ac:dyDescent="0.2">
      <c r="A96" s="3249">
        <v>95</v>
      </c>
      <c r="B96" s="3249">
        <v>-2</v>
      </c>
      <c r="C96" s="3487"/>
      <c r="D96" s="3249" t="s">
        <v>3340</v>
      </c>
      <c r="E96" s="3248" t="s">
        <v>3222</v>
      </c>
      <c r="F96" s="3250">
        <v>30.45</v>
      </c>
      <c r="G96" s="3250"/>
      <c r="H96" s="3250"/>
      <c r="I96" s="3250"/>
    </row>
    <row r="97" spans="1:9" x14ac:dyDescent="0.2">
      <c r="A97" s="3249">
        <v>96</v>
      </c>
      <c r="B97" s="3249">
        <v>-2</v>
      </c>
      <c r="C97" s="3487"/>
      <c r="D97" s="3249" t="s">
        <v>3341</v>
      </c>
      <c r="E97" s="3248" t="s">
        <v>3222</v>
      </c>
      <c r="F97" s="3250">
        <v>30.45</v>
      </c>
      <c r="G97" s="3250"/>
      <c r="H97" s="3250"/>
      <c r="I97" s="3250"/>
    </row>
    <row r="98" spans="1:9" x14ac:dyDescent="0.2">
      <c r="A98" s="3249">
        <v>97</v>
      </c>
      <c r="B98" s="3249">
        <v>-2</v>
      </c>
      <c r="C98" s="3487"/>
      <c r="D98" s="3249" t="s">
        <v>3342</v>
      </c>
      <c r="E98" s="3248" t="s">
        <v>3222</v>
      </c>
      <c r="F98" s="3250">
        <v>30.45</v>
      </c>
      <c r="G98" s="3250"/>
      <c r="H98" s="3250"/>
      <c r="I98" s="3250"/>
    </row>
    <row r="99" spans="1:9" x14ac:dyDescent="0.2">
      <c r="A99" s="3249">
        <v>98</v>
      </c>
      <c r="B99" s="3249">
        <v>-2</v>
      </c>
      <c r="C99" s="3487"/>
      <c r="D99" s="3249" t="s">
        <v>3343</v>
      </c>
      <c r="E99" s="3248" t="s">
        <v>3222</v>
      </c>
      <c r="F99" s="3250">
        <v>30.45</v>
      </c>
      <c r="G99" s="3250"/>
      <c r="H99" s="3250"/>
      <c r="I99" s="3250"/>
    </row>
    <row r="100" spans="1:9" x14ac:dyDescent="0.2">
      <c r="A100" s="3249">
        <v>99</v>
      </c>
      <c r="B100" s="3249">
        <v>-2</v>
      </c>
      <c r="C100" s="3487"/>
      <c r="D100" s="3249" t="s">
        <v>3344</v>
      </c>
      <c r="E100" s="3248" t="s">
        <v>3222</v>
      </c>
      <c r="F100" s="3250">
        <v>30.45</v>
      </c>
      <c r="G100" s="3250"/>
      <c r="H100" s="3250"/>
      <c r="I100" s="3250"/>
    </row>
    <row r="101" spans="1:9" x14ac:dyDescent="0.2">
      <c r="A101" s="3249">
        <v>100</v>
      </c>
      <c r="B101" s="3249">
        <v>-2</v>
      </c>
      <c r="C101" s="3487"/>
      <c r="D101" s="3249" t="s">
        <v>3345</v>
      </c>
      <c r="E101" s="3248" t="s">
        <v>3222</v>
      </c>
      <c r="F101" s="3250">
        <v>30.45</v>
      </c>
      <c r="G101" s="3250"/>
      <c r="H101" s="3250"/>
      <c r="I101" s="3250"/>
    </row>
    <row r="102" spans="1:9" x14ac:dyDescent="0.2">
      <c r="A102" s="3249">
        <v>101</v>
      </c>
      <c r="B102" s="3249">
        <v>-2</v>
      </c>
      <c r="C102" s="3487"/>
      <c r="D102" s="3249" t="s">
        <v>3346</v>
      </c>
      <c r="E102" s="3248" t="s">
        <v>3222</v>
      </c>
      <c r="F102" s="3250">
        <v>30.45</v>
      </c>
      <c r="G102" s="3250"/>
      <c r="H102" s="3250"/>
      <c r="I102" s="3250"/>
    </row>
    <row r="103" spans="1:9" x14ac:dyDescent="0.2">
      <c r="A103" s="3249">
        <v>102</v>
      </c>
      <c r="B103" s="3249">
        <v>-2</v>
      </c>
      <c r="C103" s="3487"/>
      <c r="D103" s="3249" t="s">
        <v>3347</v>
      </c>
      <c r="E103" s="3248" t="s">
        <v>3222</v>
      </c>
      <c r="F103" s="3250">
        <v>30.45</v>
      </c>
      <c r="G103" s="3250"/>
      <c r="H103" s="3250"/>
      <c r="I103" s="3250"/>
    </row>
    <row r="104" spans="1:9" x14ac:dyDescent="0.2">
      <c r="A104" s="3249">
        <v>103</v>
      </c>
      <c r="B104" s="3249">
        <v>-2</v>
      </c>
      <c r="C104" s="3487"/>
      <c r="D104" s="3249" t="s">
        <v>3348</v>
      </c>
      <c r="E104" s="3248" t="s">
        <v>3222</v>
      </c>
      <c r="F104" s="3250">
        <v>30.45</v>
      </c>
      <c r="G104" s="3250"/>
      <c r="H104" s="3250"/>
      <c r="I104" s="3250"/>
    </row>
    <row r="105" spans="1:9" x14ac:dyDescent="0.2">
      <c r="A105" s="3249">
        <v>104</v>
      </c>
      <c r="B105" s="3249">
        <v>-2</v>
      </c>
      <c r="C105" s="3487"/>
      <c r="D105" s="3249" t="s">
        <v>3349</v>
      </c>
      <c r="E105" s="3248" t="s">
        <v>3222</v>
      </c>
      <c r="F105" s="3250">
        <v>30.45</v>
      </c>
      <c r="G105" s="3250"/>
      <c r="H105" s="3250"/>
      <c r="I105" s="3250"/>
    </row>
    <row r="106" spans="1:9" x14ac:dyDescent="0.2">
      <c r="A106" s="3249">
        <v>105</v>
      </c>
      <c r="B106" s="3249">
        <v>-2</v>
      </c>
      <c r="C106" s="3487"/>
      <c r="D106" s="3249" t="s">
        <v>3350</v>
      </c>
      <c r="E106" s="3248" t="s">
        <v>3222</v>
      </c>
      <c r="F106" s="3250">
        <v>30.45</v>
      </c>
      <c r="G106" s="3250"/>
      <c r="H106" s="3250"/>
      <c r="I106" s="3250"/>
    </row>
    <row r="107" spans="1:9" x14ac:dyDescent="0.2">
      <c r="A107" s="3249">
        <v>106</v>
      </c>
      <c r="B107" s="3249">
        <v>-2</v>
      </c>
      <c r="C107" s="3487"/>
      <c r="D107" s="3249" t="s">
        <v>3351</v>
      </c>
      <c r="E107" s="3248" t="s">
        <v>3222</v>
      </c>
      <c r="F107" s="3250">
        <v>30.45</v>
      </c>
      <c r="G107" s="3250"/>
      <c r="H107" s="3250"/>
      <c r="I107" s="3250"/>
    </row>
    <row r="108" spans="1:9" x14ac:dyDescent="0.2">
      <c r="A108" s="3249">
        <v>107</v>
      </c>
      <c r="B108" s="3249">
        <v>-2</v>
      </c>
      <c r="C108" s="3487"/>
      <c r="D108" s="3249" t="s">
        <v>3352</v>
      </c>
      <c r="E108" s="3248" t="s">
        <v>3222</v>
      </c>
      <c r="F108" s="3250">
        <v>30.45</v>
      </c>
      <c r="G108" s="3250"/>
      <c r="H108" s="3250"/>
      <c r="I108" s="3250"/>
    </row>
    <row r="109" spans="1:9" x14ac:dyDescent="0.2">
      <c r="A109" s="3249">
        <v>108</v>
      </c>
      <c r="B109" s="3249">
        <v>-2</v>
      </c>
      <c r="C109" s="3487"/>
      <c r="D109" s="3249" t="s">
        <v>3353</v>
      </c>
      <c r="E109" s="3248" t="s">
        <v>3222</v>
      </c>
      <c r="F109" s="3250">
        <v>30.45</v>
      </c>
      <c r="G109" s="3250"/>
      <c r="H109" s="3250"/>
      <c r="I109" s="3250"/>
    </row>
    <row r="110" spans="1:9" x14ac:dyDescent="0.2">
      <c r="A110" s="3249">
        <v>109</v>
      </c>
      <c r="B110" s="3249">
        <v>-2</v>
      </c>
      <c r="C110" s="3487"/>
      <c r="D110" s="3249" t="s">
        <v>3354</v>
      </c>
      <c r="E110" s="3248" t="s">
        <v>3222</v>
      </c>
      <c r="F110" s="3250">
        <v>30.45</v>
      </c>
      <c r="G110" s="3250"/>
      <c r="H110" s="3250"/>
      <c r="I110" s="3250"/>
    </row>
    <row r="111" spans="1:9" x14ac:dyDescent="0.2">
      <c r="A111" s="3249">
        <v>110</v>
      </c>
      <c r="B111" s="3249">
        <v>-3</v>
      </c>
      <c r="C111" s="3487"/>
      <c r="D111" s="3249" t="s">
        <v>3355</v>
      </c>
      <c r="E111" s="3248" t="s">
        <v>3222</v>
      </c>
      <c r="F111" s="3250">
        <v>30.45</v>
      </c>
      <c r="G111" s="3250"/>
      <c r="H111" s="3250"/>
      <c r="I111" s="3250"/>
    </row>
    <row r="112" spans="1:9" x14ac:dyDescent="0.2">
      <c r="A112" s="3249">
        <v>111</v>
      </c>
      <c r="B112" s="3249">
        <v>-3</v>
      </c>
      <c r="C112" s="3487"/>
      <c r="D112" s="3249" t="s">
        <v>3356</v>
      </c>
      <c r="E112" s="3248" t="s">
        <v>3222</v>
      </c>
      <c r="F112" s="3250">
        <v>30.45</v>
      </c>
      <c r="G112" s="3250"/>
      <c r="H112" s="3250"/>
      <c r="I112" s="3250"/>
    </row>
    <row r="113" spans="1:9" x14ac:dyDescent="0.2">
      <c r="A113" s="3249">
        <v>112</v>
      </c>
      <c r="B113" s="3249">
        <v>-3</v>
      </c>
      <c r="C113" s="3487"/>
      <c r="D113" s="3249" t="s">
        <v>3357</v>
      </c>
      <c r="E113" s="3248" t="s">
        <v>3222</v>
      </c>
      <c r="F113" s="3250">
        <v>30.45</v>
      </c>
      <c r="G113" s="3250"/>
      <c r="H113" s="3250"/>
      <c r="I113" s="3250"/>
    </row>
    <row r="114" spans="1:9" x14ac:dyDescent="0.2">
      <c r="A114" s="3249">
        <v>113</v>
      </c>
      <c r="B114" s="3249">
        <v>-3</v>
      </c>
      <c r="C114" s="3487"/>
      <c r="D114" s="3249" t="s">
        <v>3358</v>
      </c>
      <c r="E114" s="3248" t="s">
        <v>3222</v>
      </c>
      <c r="F114" s="3250">
        <v>30.45</v>
      </c>
      <c r="G114" s="3250"/>
      <c r="H114" s="3250"/>
      <c r="I114" s="3250"/>
    </row>
    <row r="115" spans="1:9" x14ac:dyDescent="0.2">
      <c r="A115" s="3249">
        <v>114</v>
      </c>
      <c r="B115" s="3249">
        <v>-3</v>
      </c>
      <c r="C115" s="3487"/>
      <c r="D115" s="3249" t="s">
        <v>3359</v>
      </c>
      <c r="E115" s="3248" t="s">
        <v>3222</v>
      </c>
      <c r="F115" s="3250">
        <v>30.45</v>
      </c>
      <c r="G115" s="3250"/>
      <c r="H115" s="3250"/>
      <c r="I115" s="3250"/>
    </row>
    <row r="116" spans="1:9" x14ac:dyDescent="0.2">
      <c r="A116" s="3249">
        <v>115</v>
      </c>
      <c r="B116" s="3249">
        <v>-3</v>
      </c>
      <c r="C116" s="3487"/>
      <c r="D116" s="3249" t="s">
        <v>3360</v>
      </c>
      <c r="E116" s="3248" t="s">
        <v>3222</v>
      </c>
      <c r="F116" s="3250">
        <v>30.45</v>
      </c>
      <c r="G116" s="3250"/>
      <c r="H116" s="3250"/>
      <c r="I116" s="3250"/>
    </row>
    <row r="117" spans="1:9" x14ac:dyDescent="0.2">
      <c r="A117" s="3249">
        <v>116</v>
      </c>
      <c r="B117" s="3249">
        <v>-3</v>
      </c>
      <c r="C117" s="3487"/>
      <c r="D117" s="3249" t="s">
        <v>3361</v>
      </c>
      <c r="E117" s="3248" t="s">
        <v>3222</v>
      </c>
      <c r="F117" s="3250">
        <v>30.45</v>
      </c>
      <c r="G117" s="3250"/>
      <c r="H117" s="3250"/>
      <c r="I117" s="3250"/>
    </row>
    <row r="118" spans="1:9" x14ac:dyDescent="0.2">
      <c r="A118" s="3249">
        <v>117</v>
      </c>
      <c r="B118" s="3249">
        <v>-3</v>
      </c>
      <c r="C118" s="3487"/>
      <c r="D118" s="3249" t="s">
        <v>3362</v>
      </c>
      <c r="E118" s="3248" t="s">
        <v>3222</v>
      </c>
      <c r="F118" s="3250">
        <v>30.45</v>
      </c>
      <c r="G118" s="3250"/>
      <c r="H118" s="3250"/>
      <c r="I118" s="3250"/>
    </row>
    <row r="119" spans="1:9" x14ac:dyDescent="0.2">
      <c r="A119" s="3249">
        <v>118</v>
      </c>
      <c r="B119" s="3249">
        <v>-3</v>
      </c>
      <c r="C119" s="3487"/>
      <c r="D119" s="3249" t="s">
        <v>3363</v>
      </c>
      <c r="E119" s="3248" t="s">
        <v>3222</v>
      </c>
      <c r="F119" s="3250">
        <v>30.45</v>
      </c>
      <c r="G119" s="3250"/>
      <c r="H119" s="3250"/>
      <c r="I119" s="3250"/>
    </row>
    <row r="120" spans="1:9" x14ac:dyDescent="0.2">
      <c r="A120" s="3249">
        <v>119</v>
      </c>
      <c r="B120" s="3249">
        <v>-3</v>
      </c>
      <c r="C120" s="3487"/>
      <c r="D120" s="3249" t="s">
        <v>3245</v>
      </c>
      <c r="E120" s="3248" t="s">
        <v>3222</v>
      </c>
      <c r="F120" s="3250">
        <v>30.45</v>
      </c>
      <c r="G120" s="3250"/>
      <c r="H120" s="3250"/>
      <c r="I120" s="3250"/>
    </row>
    <row r="121" spans="1:9" x14ac:dyDescent="0.2">
      <c r="A121" s="3249">
        <v>120</v>
      </c>
      <c r="B121" s="3249">
        <v>-3</v>
      </c>
      <c r="C121" s="3487"/>
      <c r="D121" s="3249" t="s">
        <v>3364</v>
      </c>
      <c r="E121" s="3248" t="s">
        <v>3222</v>
      </c>
      <c r="F121" s="3250">
        <v>30.45</v>
      </c>
      <c r="G121" s="3250"/>
      <c r="H121" s="3250"/>
      <c r="I121" s="3250"/>
    </row>
    <row r="122" spans="1:9" x14ac:dyDescent="0.2">
      <c r="A122" s="3249">
        <v>121</v>
      </c>
      <c r="B122" s="3249">
        <v>-3</v>
      </c>
      <c r="C122" s="3487"/>
      <c r="D122" s="3249" t="s">
        <v>3365</v>
      </c>
      <c r="E122" s="3248" t="s">
        <v>3222</v>
      </c>
      <c r="F122" s="3250">
        <v>30.45</v>
      </c>
      <c r="G122" s="3250"/>
      <c r="H122" s="3250"/>
      <c r="I122" s="3250"/>
    </row>
    <row r="123" spans="1:9" x14ac:dyDescent="0.2">
      <c r="A123" s="3249">
        <v>122</v>
      </c>
      <c r="B123" s="3249">
        <v>-3</v>
      </c>
      <c r="C123" s="3487"/>
      <c r="D123" s="3249" t="s">
        <v>3366</v>
      </c>
      <c r="E123" s="3248" t="s">
        <v>3222</v>
      </c>
      <c r="F123" s="3250">
        <v>30.45</v>
      </c>
      <c r="G123" s="3250"/>
      <c r="H123" s="3250"/>
      <c r="I123" s="3250"/>
    </row>
    <row r="124" spans="1:9" x14ac:dyDescent="0.2">
      <c r="A124" s="3249">
        <v>123</v>
      </c>
      <c r="B124" s="3249">
        <v>-3</v>
      </c>
      <c r="C124" s="3487"/>
      <c r="D124" s="3249" t="s">
        <v>3367</v>
      </c>
      <c r="E124" s="3248" t="s">
        <v>3222</v>
      </c>
      <c r="F124" s="3250">
        <v>30.45</v>
      </c>
      <c r="G124" s="3250"/>
      <c r="H124" s="3250"/>
      <c r="I124" s="3250"/>
    </row>
    <row r="125" spans="1:9" x14ac:dyDescent="0.2">
      <c r="A125" s="3249">
        <v>124</v>
      </c>
      <c r="B125" s="3249">
        <v>-3</v>
      </c>
      <c r="C125" s="3487"/>
      <c r="D125" s="3249" t="s">
        <v>3368</v>
      </c>
      <c r="E125" s="3248" t="s">
        <v>3222</v>
      </c>
      <c r="F125" s="3250">
        <v>30.45</v>
      </c>
      <c r="G125" s="3250"/>
      <c r="H125" s="3250"/>
      <c r="I125" s="3250"/>
    </row>
    <row r="126" spans="1:9" x14ac:dyDescent="0.2">
      <c r="A126" s="3249">
        <v>125</v>
      </c>
      <c r="B126" s="3249">
        <v>-3</v>
      </c>
      <c r="C126" s="3487"/>
      <c r="D126" s="3249" t="s">
        <v>3369</v>
      </c>
      <c r="E126" s="3248" t="s">
        <v>3222</v>
      </c>
      <c r="F126" s="3250">
        <v>30.45</v>
      </c>
      <c r="G126" s="3250"/>
      <c r="H126" s="3250"/>
      <c r="I126" s="3250"/>
    </row>
    <row r="127" spans="1:9" x14ac:dyDescent="0.2">
      <c r="A127" s="3249">
        <v>126</v>
      </c>
      <c r="B127" s="3249">
        <v>-3</v>
      </c>
      <c r="C127" s="3487"/>
      <c r="D127" s="3249" t="s">
        <v>3370</v>
      </c>
      <c r="E127" s="3248" t="s">
        <v>3222</v>
      </c>
      <c r="F127" s="3250">
        <v>30.45</v>
      </c>
      <c r="G127" s="3250"/>
      <c r="H127" s="3250"/>
      <c r="I127" s="3250"/>
    </row>
    <row r="128" spans="1:9" x14ac:dyDescent="0.2">
      <c r="A128" s="3249">
        <v>127</v>
      </c>
      <c r="B128" s="3249">
        <v>-3</v>
      </c>
      <c r="C128" s="3487"/>
      <c r="D128" s="3249" t="s">
        <v>3371</v>
      </c>
      <c r="E128" s="3248" t="s">
        <v>3222</v>
      </c>
      <c r="F128" s="3250">
        <v>30.45</v>
      </c>
      <c r="G128" s="3250"/>
      <c r="H128" s="3250"/>
      <c r="I128" s="3250"/>
    </row>
    <row r="129" spans="1:9" x14ac:dyDescent="0.2">
      <c r="A129" s="3249">
        <v>128</v>
      </c>
      <c r="B129" s="3249">
        <v>-3</v>
      </c>
      <c r="C129" s="3487"/>
      <c r="D129" s="3249" t="s">
        <v>3372</v>
      </c>
      <c r="E129" s="3248" t="s">
        <v>3222</v>
      </c>
      <c r="F129" s="3250">
        <v>30.45</v>
      </c>
      <c r="G129" s="3250"/>
      <c r="H129" s="3250"/>
      <c r="I129" s="3250"/>
    </row>
    <row r="130" spans="1:9" x14ac:dyDescent="0.2">
      <c r="A130" s="3249">
        <v>129</v>
      </c>
      <c r="B130" s="3249">
        <v>-3</v>
      </c>
      <c r="C130" s="3487"/>
      <c r="D130" s="3249" t="s">
        <v>3373</v>
      </c>
      <c r="E130" s="3248" t="s">
        <v>3222</v>
      </c>
      <c r="F130" s="3250">
        <v>30.45</v>
      </c>
      <c r="G130" s="3250"/>
      <c r="H130" s="3250"/>
      <c r="I130" s="3250"/>
    </row>
    <row r="131" spans="1:9" x14ac:dyDescent="0.2">
      <c r="A131" s="3249">
        <v>130</v>
      </c>
      <c r="B131" s="3249">
        <v>-3</v>
      </c>
      <c r="C131" s="3487"/>
      <c r="D131" s="3249" t="s">
        <v>3374</v>
      </c>
      <c r="E131" s="3248" t="s">
        <v>3222</v>
      </c>
      <c r="F131" s="3250">
        <v>30.45</v>
      </c>
      <c r="G131" s="3250"/>
      <c r="H131" s="3250"/>
      <c r="I131" s="3250"/>
    </row>
    <row r="132" spans="1:9" x14ac:dyDescent="0.2">
      <c r="A132" s="3249">
        <v>131</v>
      </c>
      <c r="B132" s="3249">
        <v>-3</v>
      </c>
      <c r="C132" s="3487"/>
      <c r="D132" s="3249" t="s">
        <v>3375</v>
      </c>
      <c r="E132" s="3248" t="s">
        <v>3222</v>
      </c>
      <c r="F132" s="3250">
        <v>30.45</v>
      </c>
      <c r="G132" s="3250"/>
      <c r="H132" s="3250"/>
      <c r="I132" s="3250"/>
    </row>
    <row r="133" spans="1:9" x14ac:dyDescent="0.2">
      <c r="A133" s="3249">
        <v>132</v>
      </c>
      <c r="B133" s="3249">
        <v>-3</v>
      </c>
      <c r="C133" s="3487"/>
      <c r="D133" s="3249" t="s">
        <v>3376</v>
      </c>
      <c r="E133" s="3248" t="s">
        <v>3222</v>
      </c>
      <c r="F133" s="3250">
        <v>30.45</v>
      </c>
      <c r="G133" s="3250"/>
      <c r="H133" s="3250"/>
      <c r="I133" s="3250"/>
    </row>
    <row r="134" spans="1:9" x14ac:dyDescent="0.2">
      <c r="A134" s="3249">
        <v>133</v>
      </c>
      <c r="B134" s="3249">
        <v>-3</v>
      </c>
      <c r="C134" s="3487"/>
      <c r="D134" s="3249" t="s">
        <v>3377</v>
      </c>
      <c r="E134" s="3248" t="s">
        <v>3222</v>
      </c>
      <c r="F134" s="3250">
        <v>30.45</v>
      </c>
      <c r="G134" s="3250"/>
      <c r="H134" s="3250"/>
      <c r="I134" s="3250"/>
    </row>
    <row r="135" spans="1:9" x14ac:dyDescent="0.2">
      <c r="A135" s="3249">
        <v>134</v>
      </c>
      <c r="B135" s="3249">
        <v>-3</v>
      </c>
      <c r="C135" s="3487"/>
      <c r="D135" s="3249" t="s">
        <v>3378</v>
      </c>
      <c r="E135" s="3248" t="s">
        <v>3222</v>
      </c>
      <c r="F135" s="3250">
        <v>30.45</v>
      </c>
      <c r="G135" s="3250"/>
      <c r="H135" s="3250"/>
      <c r="I135" s="3250"/>
    </row>
    <row r="136" spans="1:9" x14ac:dyDescent="0.2">
      <c r="A136" s="3249">
        <v>135</v>
      </c>
      <c r="B136" s="3249">
        <v>-3</v>
      </c>
      <c r="C136" s="3487"/>
      <c r="D136" s="3249" t="s">
        <v>3379</v>
      </c>
      <c r="E136" s="3248" t="s">
        <v>3222</v>
      </c>
      <c r="F136" s="3250">
        <v>30.45</v>
      </c>
      <c r="G136" s="3250"/>
      <c r="H136" s="3250"/>
      <c r="I136" s="3250"/>
    </row>
    <row r="137" spans="1:9" x14ac:dyDescent="0.2">
      <c r="A137" s="3249">
        <v>136</v>
      </c>
      <c r="B137" s="3249">
        <v>-3</v>
      </c>
      <c r="C137" s="3487"/>
      <c r="D137" s="3249" t="s">
        <v>3380</v>
      </c>
      <c r="E137" s="3248" t="s">
        <v>3222</v>
      </c>
      <c r="F137" s="3250">
        <v>30.45</v>
      </c>
      <c r="G137" s="3250"/>
      <c r="H137" s="3250"/>
      <c r="I137" s="3250"/>
    </row>
    <row r="138" spans="1:9" x14ac:dyDescent="0.2">
      <c r="A138" s="3249">
        <v>137</v>
      </c>
      <c r="B138" s="3249">
        <v>-3</v>
      </c>
      <c r="C138" s="3487"/>
      <c r="D138" s="3249" t="s">
        <v>3381</v>
      </c>
      <c r="E138" s="3248" t="s">
        <v>3222</v>
      </c>
      <c r="F138" s="3250">
        <v>30.45</v>
      </c>
      <c r="G138" s="3250"/>
      <c r="H138" s="3250"/>
      <c r="I138" s="3250"/>
    </row>
    <row r="139" spans="1:9" x14ac:dyDescent="0.2">
      <c r="A139" s="3249">
        <v>138</v>
      </c>
      <c r="B139" s="3249">
        <v>-3</v>
      </c>
      <c r="C139" s="3487"/>
      <c r="D139" s="3249" t="s">
        <v>3382</v>
      </c>
      <c r="E139" s="3248" t="s">
        <v>3222</v>
      </c>
      <c r="F139" s="3250">
        <v>30.45</v>
      </c>
      <c r="G139" s="3250"/>
      <c r="H139" s="3250"/>
      <c r="I139" s="3250"/>
    </row>
    <row r="140" spans="1:9" x14ac:dyDescent="0.2">
      <c r="A140" s="3249">
        <v>139</v>
      </c>
      <c r="B140" s="3249">
        <v>-3</v>
      </c>
      <c r="C140" s="3487"/>
      <c r="D140" s="3249" t="s">
        <v>3383</v>
      </c>
      <c r="E140" s="3248" t="s">
        <v>3222</v>
      </c>
      <c r="F140" s="3250">
        <v>30.45</v>
      </c>
      <c r="G140" s="3250"/>
      <c r="H140" s="3250"/>
      <c r="I140" s="3250"/>
    </row>
    <row r="141" spans="1:9" x14ac:dyDescent="0.2">
      <c r="A141" s="3249">
        <v>140</v>
      </c>
      <c r="B141" s="3249">
        <v>-3</v>
      </c>
      <c r="C141" s="3487"/>
      <c r="D141" s="3249" t="s">
        <v>3384</v>
      </c>
      <c r="E141" s="3248" t="s">
        <v>3222</v>
      </c>
      <c r="F141" s="3250">
        <v>30.45</v>
      </c>
      <c r="G141" s="3250"/>
      <c r="H141" s="3250"/>
      <c r="I141" s="3250"/>
    </row>
    <row r="142" spans="1:9" x14ac:dyDescent="0.2">
      <c r="A142" s="3249">
        <v>141</v>
      </c>
      <c r="B142" s="3249">
        <v>-3</v>
      </c>
      <c r="C142" s="3487"/>
      <c r="D142" s="3249" t="s">
        <v>3385</v>
      </c>
      <c r="E142" s="3248" t="s">
        <v>3222</v>
      </c>
      <c r="F142" s="3250">
        <v>30.45</v>
      </c>
      <c r="G142" s="3250"/>
      <c r="H142" s="3250"/>
      <c r="I142" s="3250"/>
    </row>
    <row r="143" spans="1:9" x14ac:dyDescent="0.2">
      <c r="A143" s="3249">
        <v>142</v>
      </c>
      <c r="B143" s="3249">
        <v>-3</v>
      </c>
      <c r="C143" s="3487"/>
      <c r="D143" s="3249" t="s">
        <v>3386</v>
      </c>
      <c r="E143" s="3248" t="s">
        <v>3222</v>
      </c>
      <c r="F143" s="3250">
        <v>30.45</v>
      </c>
      <c r="G143" s="3250"/>
      <c r="H143" s="3250"/>
      <c r="I143" s="3250"/>
    </row>
    <row r="144" spans="1:9" x14ac:dyDescent="0.2">
      <c r="A144" s="3249">
        <v>143</v>
      </c>
      <c r="B144" s="3249">
        <v>-3</v>
      </c>
      <c r="C144" s="3487"/>
      <c r="D144" s="3249" t="s">
        <v>3387</v>
      </c>
      <c r="E144" s="3248" t="s">
        <v>3222</v>
      </c>
      <c r="F144" s="3250">
        <v>30.45</v>
      </c>
      <c r="G144" s="3250"/>
      <c r="H144" s="3250"/>
      <c r="I144" s="3250"/>
    </row>
    <row r="145" spans="1:9" x14ac:dyDescent="0.2">
      <c r="A145" s="3249">
        <v>144</v>
      </c>
      <c r="B145" s="3249">
        <v>-3</v>
      </c>
      <c r="C145" s="3487"/>
      <c r="D145" s="3249" t="s">
        <v>3388</v>
      </c>
      <c r="E145" s="3248" t="s">
        <v>3222</v>
      </c>
      <c r="F145" s="3250">
        <v>30.45</v>
      </c>
      <c r="G145" s="3250"/>
      <c r="H145" s="3250"/>
      <c r="I145" s="3250"/>
    </row>
    <row r="146" spans="1:9" x14ac:dyDescent="0.2">
      <c r="A146" s="3249">
        <v>145</v>
      </c>
      <c r="B146" s="3249">
        <v>-3</v>
      </c>
      <c r="C146" s="3487"/>
      <c r="D146" s="3249" t="s">
        <v>3389</v>
      </c>
      <c r="E146" s="3248" t="s">
        <v>3222</v>
      </c>
      <c r="F146" s="3250">
        <v>30.45</v>
      </c>
      <c r="G146" s="3250"/>
      <c r="H146" s="3250"/>
      <c r="I146" s="3250"/>
    </row>
    <row r="147" spans="1:9" x14ac:dyDescent="0.2">
      <c r="A147" s="3249">
        <v>146</v>
      </c>
      <c r="B147" s="3249">
        <v>-3</v>
      </c>
      <c r="C147" s="3487"/>
      <c r="D147" s="3249" t="s">
        <v>3390</v>
      </c>
      <c r="E147" s="3248" t="s">
        <v>3222</v>
      </c>
      <c r="F147" s="3250">
        <v>30.45</v>
      </c>
      <c r="G147" s="3250"/>
      <c r="H147" s="3250"/>
      <c r="I147" s="3250"/>
    </row>
    <row r="148" spans="1:9" x14ac:dyDescent="0.2">
      <c r="A148" s="3249">
        <v>147</v>
      </c>
      <c r="B148" s="3249">
        <v>-3</v>
      </c>
      <c r="C148" s="3487"/>
      <c r="D148" s="3249" t="s">
        <v>3391</v>
      </c>
      <c r="E148" s="3248" t="s">
        <v>3222</v>
      </c>
      <c r="F148" s="3250">
        <v>30.45</v>
      </c>
      <c r="G148" s="3250"/>
      <c r="H148" s="3250"/>
      <c r="I148" s="3250"/>
    </row>
    <row r="149" spans="1:9" x14ac:dyDescent="0.2">
      <c r="A149" s="3249">
        <v>148</v>
      </c>
      <c r="B149" s="3249">
        <v>-3</v>
      </c>
      <c r="C149" s="3487"/>
      <c r="D149" s="3249" t="s">
        <v>3392</v>
      </c>
      <c r="E149" s="3248" t="s">
        <v>3222</v>
      </c>
      <c r="F149" s="3250">
        <v>30.45</v>
      </c>
      <c r="G149" s="3250"/>
      <c r="H149" s="3250"/>
      <c r="I149" s="3250"/>
    </row>
    <row r="150" spans="1:9" x14ac:dyDescent="0.2">
      <c r="A150" s="3249">
        <v>149</v>
      </c>
      <c r="B150" s="3249">
        <v>-3</v>
      </c>
      <c r="C150" s="3487"/>
      <c r="D150" s="3249" t="s">
        <v>3393</v>
      </c>
      <c r="E150" s="3248" t="s">
        <v>3222</v>
      </c>
      <c r="F150" s="3250">
        <v>30.45</v>
      </c>
      <c r="G150" s="3250"/>
      <c r="H150" s="3250"/>
      <c r="I150" s="3250"/>
    </row>
    <row r="151" spans="1:9" x14ac:dyDescent="0.2">
      <c r="A151" s="3249">
        <v>150</v>
      </c>
      <c r="B151" s="3249">
        <v>-3</v>
      </c>
      <c r="C151" s="3487"/>
      <c r="D151" s="3249" t="s">
        <v>3394</v>
      </c>
      <c r="E151" s="3248" t="s">
        <v>3222</v>
      </c>
      <c r="F151" s="3250">
        <v>30.45</v>
      </c>
      <c r="G151" s="3250"/>
      <c r="H151" s="3250"/>
      <c r="I151" s="3250"/>
    </row>
    <row r="152" spans="1:9" x14ac:dyDescent="0.2">
      <c r="A152" s="3249">
        <v>151</v>
      </c>
      <c r="B152" s="3249">
        <v>-3</v>
      </c>
      <c r="C152" s="3487"/>
      <c r="D152" s="3249" t="s">
        <v>3395</v>
      </c>
      <c r="E152" s="3248" t="s">
        <v>3222</v>
      </c>
      <c r="F152" s="3250">
        <v>30.45</v>
      </c>
      <c r="G152" s="3250"/>
      <c r="H152" s="3250"/>
      <c r="I152" s="3250"/>
    </row>
    <row r="153" spans="1:9" x14ac:dyDescent="0.2">
      <c r="A153" s="3249">
        <v>152</v>
      </c>
      <c r="B153" s="3249">
        <v>-3</v>
      </c>
      <c r="C153" s="3487"/>
      <c r="D153" s="3249" t="s">
        <v>3396</v>
      </c>
      <c r="E153" s="3248" t="s">
        <v>3222</v>
      </c>
      <c r="F153" s="3250">
        <v>30.45</v>
      </c>
      <c r="G153" s="3250"/>
      <c r="H153" s="3250"/>
      <c r="I153" s="3250"/>
    </row>
    <row r="154" spans="1:9" x14ac:dyDescent="0.2">
      <c r="A154" s="3249">
        <v>153</v>
      </c>
      <c r="B154" s="3249">
        <v>-3</v>
      </c>
      <c r="C154" s="3487"/>
      <c r="D154" s="3249" t="s">
        <v>3397</v>
      </c>
      <c r="E154" s="3248" t="s">
        <v>3222</v>
      </c>
      <c r="F154" s="3250">
        <v>30.45</v>
      </c>
      <c r="G154" s="3250"/>
      <c r="H154" s="3250"/>
      <c r="I154" s="3250"/>
    </row>
    <row r="155" spans="1:9" x14ac:dyDescent="0.2">
      <c r="A155" s="3249">
        <v>154</v>
      </c>
      <c r="B155" s="3249">
        <v>-3</v>
      </c>
      <c r="C155" s="3487"/>
      <c r="D155" s="3249" t="s">
        <v>3398</v>
      </c>
      <c r="E155" s="3248" t="s">
        <v>3222</v>
      </c>
      <c r="F155" s="3250">
        <v>30.45</v>
      </c>
      <c r="G155" s="3250"/>
      <c r="H155" s="3250"/>
      <c r="I155" s="3250"/>
    </row>
    <row r="156" spans="1:9" x14ac:dyDescent="0.2">
      <c r="A156" s="3249">
        <v>155</v>
      </c>
      <c r="B156" s="3249">
        <v>-3</v>
      </c>
      <c r="C156" s="3487"/>
      <c r="D156" s="3249" t="s">
        <v>3399</v>
      </c>
      <c r="E156" s="3248" t="s">
        <v>3222</v>
      </c>
      <c r="F156" s="3250">
        <v>30.45</v>
      </c>
      <c r="G156" s="3250"/>
      <c r="H156" s="3250"/>
      <c r="I156" s="3250"/>
    </row>
    <row r="157" spans="1:9" x14ac:dyDescent="0.2">
      <c r="A157" s="3249">
        <v>156</v>
      </c>
      <c r="B157" s="3249">
        <v>-3</v>
      </c>
      <c r="C157" s="3487"/>
      <c r="D157" s="3249" t="s">
        <v>3400</v>
      </c>
      <c r="E157" s="3248" t="s">
        <v>3222</v>
      </c>
      <c r="F157" s="3250">
        <v>30.45</v>
      </c>
      <c r="G157" s="3250"/>
      <c r="H157" s="3250"/>
      <c r="I157" s="3250"/>
    </row>
    <row r="158" spans="1:9" x14ac:dyDescent="0.2">
      <c r="A158" s="3249">
        <v>157</v>
      </c>
      <c r="B158" s="3249">
        <v>-3</v>
      </c>
      <c r="C158" s="3487"/>
      <c r="D158" s="3249" t="s">
        <v>3401</v>
      </c>
      <c r="E158" s="3248" t="s">
        <v>3222</v>
      </c>
      <c r="F158" s="3250">
        <v>30.45</v>
      </c>
      <c r="G158" s="3250"/>
      <c r="H158" s="3250"/>
      <c r="I158" s="3250"/>
    </row>
    <row r="159" spans="1:9" x14ac:dyDescent="0.2">
      <c r="A159" s="3249">
        <v>158</v>
      </c>
      <c r="B159" s="3249">
        <v>-3</v>
      </c>
      <c r="C159" s="3487"/>
      <c r="D159" s="3249" t="s">
        <v>3402</v>
      </c>
      <c r="E159" s="3248" t="s">
        <v>3222</v>
      </c>
      <c r="F159" s="3250">
        <v>30.45</v>
      </c>
      <c r="G159" s="3250"/>
      <c r="H159" s="3250"/>
      <c r="I159" s="3250"/>
    </row>
    <row r="160" spans="1:9" x14ac:dyDescent="0.2">
      <c r="A160" s="3249">
        <v>159</v>
      </c>
      <c r="B160" s="3249">
        <v>-3</v>
      </c>
      <c r="C160" s="3487"/>
      <c r="D160" s="3249" t="s">
        <v>3403</v>
      </c>
      <c r="E160" s="3248" t="s">
        <v>3222</v>
      </c>
      <c r="F160" s="3250">
        <v>30.45</v>
      </c>
      <c r="G160" s="3250"/>
      <c r="H160" s="3250"/>
      <c r="I160" s="3250"/>
    </row>
    <row r="161" spans="1:9" x14ac:dyDescent="0.2">
      <c r="A161" s="3249">
        <v>160</v>
      </c>
      <c r="B161" s="3249">
        <v>-3</v>
      </c>
      <c r="C161" s="3487"/>
      <c r="D161" s="3249" t="s">
        <v>3404</v>
      </c>
      <c r="E161" s="3248" t="s">
        <v>3222</v>
      </c>
      <c r="F161" s="3250">
        <v>30.45</v>
      </c>
      <c r="G161" s="3250"/>
      <c r="H161" s="3250"/>
      <c r="I161" s="3250"/>
    </row>
    <row r="162" spans="1:9" x14ac:dyDescent="0.2">
      <c r="A162" s="3249">
        <v>161</v>
      </c>
      <c r="B162" s="3249">
        <v>-3</v>
      </c>
      <c r="C162" s="3487"/>
      <c r="D162" s="3249" t="s">
        <v>3405</v>
      </c>
      <c r="E162" s="3248" t="s">
        <v>3222</v>
      </c>
      <c r="F162" s="3250">
        <v>30.45</v>
      </c>
      <c r="G162" s="3250"/>
      <c r="H162" s="3250"/>
      <c r="I162" s="3250"/>
    </row>
    <row r="163" spans="1:9" x14ac:dyDescent="0.2">
      <c r="A163" s="3249">
        <v>162</v>
      </c>
      <c r="B163" s="3249">
        <v>-3</v>
      </c>
      <c r="C163" s="3487"/>
      <c r="D163" s="3249" t="s">
        <v>3406</v>
      </c>
      <c r="E163" s="3248" t="s">
        <v>3222</v>
      </c>
      <c r="F163" s="3250">
        <v>30.45</v>
      </c>
      <c r="G163" s="3250"/>
      <c r="H163" s="3250"/>
      <c r="I163" s="3250"/>
    </row>
    <row r="164" spans="1:9" x14ac:dyDescent="0.2">
      <c r="A164" s="3249">
        <v>163</v>
      </c>
      <c r="B164" s="3249">
        <v>-3</v>
      </c>
      <c r="C164" s="3487"/>
      <c r="D164" s="3249" t="s">
        <v>3407</v>
      </c>
      <c r="E164" s="3248" t="s">
        <v>3222</v>
      </c>
      <c r="F164" s="3250">
        <v>30.45</v>
      </c>
      <c r="G164" s="3250"/>
      <c r="H164" s="3250"/>
      <c r="I164" s="3250"/>
    </row>
    <row r="165" spans="1:9" x14ac:dyDescent="0.2">
      <c r="A165" s="3249">
        <v>164</v>
      </c>
      <c r="B165" s="3249">
        <v>-3</v>
      </c>
      <c r="C165" s="3487"/>
      <c r="D165" s="3249" t="s">
        <v>3408</v>
      </c>
      <c r="E165" s="3248" t="s">
        <v>3222</v>
      </c>
      <c r="F165" s="3250">
        <v>30.45</v>
      </c>
      <c r="G165" s="3250"/>
      <c r="H165" s="3250"/>
      <c r="I165" s="3250"/>
    </row>
    <row r="166" spans="1:9" x14ac:dyDescent="0.2">
      <c r="A166" s="3249">
        <v>165</v>
      </c>
      <c r="B166" s="3249">
        <v>-3</v>
      </c>
      <c r="C166" s="3487"/>
      <c r="D166" s="3249" t="s">
        <v>3409</v>
      </c>
      <c r="E166" s="3248" t="s">
        <v>3222</v>
      </c>
      <c r="F166" s="3250">
        <v>30.45</v>
      </c>
      <c r="G166" s="3250"/>
      <c r="H166" s="3250"/>
      <c r="I166" s="3250"/>
    </row>
    <row r="167" spans="1:9" x14ac:dyDescent="0.2">
      <c r="A167" s="3249">
        <v>166</v>
      </c>
      <c r="B167" s="3249">
        <v>-3</v>
      </c>
      <c r="C167" s="3487"/>
      <c r="D167" s="3249" t="s">
        <v>3410</v>
      </c>
      <c r="E167" s="3248" t="s">
        <v>3222</v>
      </c>
      <c r="F167" s="3250">
        <v>27.41</v>
      </c>
      <c r="G167" s="3250"/>
      <c r="H167" s="3250"/>
      <c r="I167" s="3250"/>
    </row>
    <row r="168" spans="1:9" x14ac:dyDescent="0.2">
      <c r="A168" s="3249">
        <v>167</v>
      </c>
      <c r="B168" s="3249">
        <v>-3</v>
      </c>
      <c r="C168" s="3487"/>
      <c r="D168" s="3249" t="s">
        <v>3411</v>
      </c>
      <c r="E168" s="3248" t="s">
        <v>3222</v>
      </c>
      <c r="F168" s="3250">
        <v>30.45</v>
      </c>
      <c r="G168" s="3250"/>
      <c r="H168" s="3250"/>
      <c r="I168" s="3250"/>
    </row>
    <row r="169" spans="1:9" x14ac:dyDescent="0.2">
      <c r="A169" s="3249">
        <v>168</v>
      </c>
      <c r="B169" s="3249">
        <v>-3</v>
      </c>
      <c r="C169" s="3487"/>
      <c r="D169" s="3249" t="s">
        <v>3412</v>
      </c>
      <c r="E169" s="3248" t="s">
        <v>3222</v>
      </c>
      <c r="F169" s="3250">
        <v>30.45</v>
      </c>
      <c r="G169" s="3250"/>
      <c r="H169" s="3250"/>
      <c r="I169" s="3250"/>
    </row>
    <row r="170" spans="1:9" x14ac:dyDescent="0.2">
      <c r="A170" s="3249">
        <v>169</v>
      </c>
      <c r="B170" s="3249">
        <v>-3</v>
      </c>
      <c r="C170" s="3487"/>
      <c r="D170" s="3249" t="s">
        <v>3413</v>
      </c>
      <c r="E170" s="3248" t="s">
        <v>3222</v>
      </c>
      <c r="F170" s="3250">
        <v>30.45</v>
      </c>
      <c r="G170" s="3250"/>
      <c r="H170" s="3250"/>
      <c r="I170" s="3250"/>
    </row>
    <row r="171" spans="1:9" x14ac:dyDescent="0.2">
      <c r="A171" s="3249">
        <v>170</v>
      </c>
      <c r="B171" s="3249">
        <v>-3</v>
      </c>
      <c r="C171" s="3487"/>
      <c r="D171" s="3249" t="s">
        <v>3414</v>
      </c>
      <c r="E171" s="3248" t="s">
        <v>3222</v>
      </c>
      <c r="F171" s="3250">
        <v>30.45</v>
      </c>
      <c r="G171" s="3250"/>
      <c r="H171" s="3250"/>
      <c r="I171" s="3250"/>
    </row>
    <row r="172" spans="1:9" x14ac:dyDescent="0.2">
      <c r="A172" s="3249">
        <v>171</v>
      </c>
      <c r="B172" s="3249">
        <v>-3</v>
      </c>
      <c r="C172" s="3487"/>
      <c r="D172" s="3249" t="s">
        <v>3415</v>
      </c>
      <c r="E172" s="3248" t="s">
        <v>3222</v>
      </c>
      <c r="F172" s="3250">
        <v>30.45</v>
      </c>
      <c r="G172" s="3250"/>
      <c r="H172" s="3250"/>
      <c r="I172" s="3250"/>
    </row>
    <row r="173" spans="1:9" x14ac:dyDescent="0.2">
      <c r="A173" s="3249">
        <v>172</v>
      </c>
      <c r="B173" s="3249">
        <v>-3</v>
      </c>
      <c r="C173" s="3487"/>
      <c r="D173" s="3249" t="s">
        <v>3416</v>
      </c>
      <c r="E173" s="3248" t="s">
        <v>3222</v>
      </c>
      <c r="F173" s="3250">
        <v>30.45</v>
      </c>
      <c r="G173" s="3250"/>
      <c r="H173" s="3250"/>
      <c r="I173" s="3250"/>
    </row>
    <row r="174" spans="1:9" x14ac:dyDescent="0.2">
      <c r="A174" s="3249">
        <v>173</v>
      </c>
      <c r="B174" s="3249">
        <v>-3</v>
      </c>
      <c r="C174" s="3487"/>
      <c r="D174" s="3249" t="s">
        <v>3417</v>
      </c>
      <c r="E174" s="3248" t="s">
        <v>3222</v>
      </c>
      <c r="F174" s="3250">
        <v>30.45</v>
      </c>
      <c r="G174" s="3250"/>
      <c r="H174" s="3250"/>
      <c r="I174" s="3250"/>
    </row>
    <row r="175" spans="1:9" x14ac:dyDescent="0.2">
      <c r="A175" s="3249">
        <v>174</v>
      </c>
      <c r="B175" s="3249">
        <v>-3</v>
      </c>
      <c r="C175" s="3487"/>
      <c r="D175" s="3249" t="s">
        <v>3418</v>
      </c>
      <c r="E175" s="3248" t="s">
        <v>3222</v>
      </c>
      <c r="F175" s="3250">
        <v>30.45</v>
      </c>
      <c r="G175" s="3250"/>
      <c r="H175" s="3250"/>
      <c r="I175" s="3250"/>
    </row>
    <row r="176" spans="1:9" x14ac:dyDescent="0.2">
      <c r="A176" s="3249">
        <v>175</v>
      </c>
      <c r="B176" s="3249">
        <v>-3</v>
      </c>
      <c r="C176" s="3487"/>
      <c r="D176" s="3249" t="s">
        <v>3419</v>
      </c>
      <c r="E176" s="3248" t="s">
        <v>3222</v>
      </c>
      <c r="F176" s="3250">
        <v>30.45</v>
      </c>
      <c r="G176" s="3250"/>
      <c r="H176" s="3250"/>
      <c r="I176" s="3250"/>
    </row>
    <row r="177" spans="1:9" x14ac:dyDescent="0.2">
      <c r="A177" s="3249">
        <v>176</v>
      </c>
      <c r="B177" s="3249">
        <v>-3</v>
      </c>
      <c r="C177" s="3487"/>
      <c r="D177" s="3249" t="s">
        <v>3420</v>
      </c>
      <c r="E177" s="3248" t="s">
        <v>3222</v>
      </c>
      <c r="F177" s="3250">
        <v>30.45</v>
      </c>
      <c r="G177" s="3250"/>
      <c r="H177" s="3250"/>
      <c r="I177" s="3250"/>
    </row>
    <row r="178" spans="1:9" x14ac:dyDescent="0.2">
      <c r="A178" s="3249">
        <v>177</v>
      </c>
      <c r="B178" s="3249">
        <v>-3</v>
      </c>
      <c r="C178" s="3487"/>
      <c r="D178" s="3249" t="s">
        <v>3421</v>
      </c>
      <c r="E178" s="3248" t="s">
        <v>3222</v>
      </c>
      <c r="F178" s="3250">
        <v>30.45</v>
      </c>
      <c r="G178" s="3250"/>
      <c r="H178" s="3250"/>
      <c r="I178" s="3250"/>
    </row>
    <row r="179" spans="1:9" x14ac:dyDescent="0.2">
      <c r="A179" s="3249">
        <v>178</v>
      </c>
      <c r="B179" s="3249">
        <v>-3</v>
      </c>
      <c r="C179" s="3487"/>
      <c r="D179" s="3249" t="s">
        <v>3422</v>
      </c>
      <c r="E179" s="3248" t="s">
        <v>3222</v>
      </c>
      <c r="F179" s="3250">
        <v>30.45</v>
      </c>
      <c r="G179" s="3250"/>
      <c r="H179" s="3250"/>
      <c r="I179" s="3250"/>
    </row>
    <row r="180" spans="1:9" x14ac:dyDescent="0.2">
      <c r="A180" s="3249">
        <v>179</v>
      </c>
      <c r="B180" s="3249">
        <v>-3</v>
      </c>
      <c r="C180" s="3487"/>
      <c r="D180" s="3249" t="s">
        <v>3423</v>
      </c>
      <c r="E180" s="3248" t="s">
        <v>3222</v>
      </c>
      <c r="F180" s="3250">
        <v>30.45</v>
      </c>
      <c r="G180" s="3250"/>
      <c r="H180" s="3250"/>
      <c r="I180" s="3250"/>
    </row>
    <row r="181" spans="1:9" x14ac:dyDescent="0.2">
      <c r="A181" s="3249">
        <v>180</v>
      </c>
      <c r="B181" s="3249">
        <v>-3</v>
      </c>
      <c r="C181" s="3487"/>
      <c r="D181" s="3249" t="s">
        <v>3424</v>
      </c>
      <c r="E181" s="3248" t="s">
        <v>3222</v>
      </c>
      <c r="F181" s="3250">
        <v>30.45</v>
      </c>
      <c r="G181" s="3250"/>
      <c r="H181" s="3250"/>
      <c r="I181" s="3250"/>
    </row>
    <row r="182" spans="1:9" x14ac:dyDescent="0.2">
      <c r="A182" s="3249">
        <v>181</v>
      </c>
      <c r="B182" s="3249">
        <v>-3</v>
      </c>
      <c r="C182" s="3487"/>
      <c r="D182" s="3249" t="s">
        <v>3425</v>
      </c>
      <c r="E182" s="3248" t="s">
        <v>3222</v>
      </c>
      <c r="F182" s="3250">
        <v>30.45</v>
      </c>
      <c r="G182" s="3250"/>
      <c r="H182" s="3250"/>
      <c r="I182" s="3250"/>
    </row>
    <row r="183" spans="1:9" x14ac:dyDescent="0.2">
      <c r="A183" s="3249">
        <v>182</v>
      </c>
      <c r="B183" s="3249">
        <v>-3</v>
      </c>
      <c r="C183" s="3487"/>
      <c r="D183" s="3249" t="s">
        <v>3426</v>
      </c>
      <c r="E183" s="3248" t="s">
        <v>3222</v>
      </c>
      <c r="F183" s="3250">
        <v>30.45</v>
      </c>
      <c r="G183" s="3250"/>
      <c r="H183" s="3250"/>
      <c r="I183" s="3250"/>
    </row>
    <row r="184" spans="1:9" x14ac:dyDescent="0.2">
      <c r="A184" s="3249">
        <v>183</v>
      </c>
      <c r="B184" s="3249">
        <v>-3</v>
      </c>
      <c r="C184" s="3487"/>
      <c r="D184" s="3249" t="s">
        <v>3427</v>
      </c>
      <c r="E184" s="3248" t="s">
        <v>3222</v>
      </c>
      <c r="F184" s="3250">
        <v>30.45</v>
      </c>
      <c r="G184" s="3250"/>
      <c r="H184" s="3250"/>
      <c r="I184" s="3250"/>
    </row>
    <row r="185" spans="1:9" x14ac:dyDescent="0.2">
      <c r="A185" s="3249">
        <v>184</v>
      </c>
      <c r="B185" s="3249">
        <v>-3</v>
      </c>
      <c r="C185" s="3487"/>
      <c r="D185" s="3249" t="s">
        <v>3428</v>
      </c>
      <c r="E185" s="3248" t="s">
        <v>3222</v>
      </c>
      <c r="F185" s="3250">
        <v>30.45</v>
      </c>
      <c r="G185" s="3250"/>
      <c r="H185" s="3250"/>
      <c r="I185" s="3250"/>
    </row>
    <row r="186" spans="1:9" x14ac:dyDescent="0.2">
      <c r="A186" s="3249">
        <v>185</v>
      </c>
      <c r="B186" s="3249">
        <v>-3</v>
      </c>
      <c r="C186" s="3487"/>
      <c r="D186" s="3249" t="s">
        <v>3429</v>
      </c>
      <c r="E186" s="3248" t="s">
        <v>3222</v>
      </c>
      <c r="F186" s="3250">
        <v>30.45</v>
      </c>
      <c r="G186" s="3250"/>
      <c r="H186" s="3250"/>
      <c r="I186" s="3250"/>
    </row>
    <row r="187" spans="1:9" x14ac:dyDescent="0.2">
      <c r="A187" s="3249">
        <v>186</v>
      </c>
      <c r="B187" s="3249">
        <v>-3</v>
      </c>
      <c r="C187" s="3487"/>
      <c r="D187" s="3249" t="s">
        <v>3430</v>
      </c>
      <c r="E187" s="3248" t="s">
        <v>3222</v>
      </c>
      <c r="F187" s="3250">
        <v>30.45</v>
      </c>
      <c r="G187" s="3250"/>
      <c r="H187" s="3250"/>
      <c r="I187" s="3250"/>
    </row>
    <row r="188" spans="1:9" x14ac:dyDescent="0.2">
      <c r="A188" s="3249">
        <v>187</v>
      </c>
      <c r="B188" s="3249">
        <v>-3</v>
      </c>
      <c r="C188" s="3487"/>
      <c r="D188" s="3249" t="s">
        <v>3431</v>
      </c>
      <c r="E188" s="3248" t="s">
        <v>3222</v>
      </c>
      <c r="F188" s="3250">
        <v>30.45</v>
      </c>
      <c r="G188" s="3250"/>
      <c r="H188" s="3250"/>
      <c r="I188" s="3250"/>
    </row>
    <row r="189" spans="1:9" x14ac:dyDescent="0.2">
      <c r="A189" s="3249">
        <v>188</v>
      </c>
      <c r="B189" s="3249">
        <v>-3</v>
      </c>
      <c r="C189" s="3487"/>
      <c r="D189" s="3249" t="s">
        <v>3432</v>
      </c>
      <c r="E189" s="3248" t="s">
        <v>3222</v>
      </c>
      <c r="F189" s="3250">
        <v>30.45</v>
      </c>
      <c r="G189" s="3250"/>
      <c r="H189" s="3250"/>
      <c r="I189" s="3250"/>
    </row>
    <row r="190" spans="1:9" x14ac:dyDescent="0.2">
      <c r="A190" s="3249">
        <v>189</v>
      </c>
      <c r="B190" s="3249">
        <v>-3</v>
      </c>
      <c r="C190" s="3487"/>
      <c r="D190" s="3249" t="s">
        <v>3433</v>
      </c>
      <c r="E190" s="3248" t="s">
        <v>3222</v>
      </c>
      <c r="F190" s="3250">
        <v>30.45</v>
      </c>
      <c r="G190" s="3250"/>
      <c r="H190" s="3250"/>
      <c r="I190" s="3250"/>
    </row>
    <row r="191" spans="1:9" x14ac:dyDescent="0.2">
      <c r="A191" s="3249">
        <v>190</v>
      </c>
      <c r="B191" s="3249">
        <v>-3</v>
      </c>
      <c r="C191" s="3487"/>
      <c r="D191" s="3249" t="s">
        <v>3434</v>
      </c>
      <c r="E191" s="3248" t="s">
        <v>3222</v>
      </c>
      <c r="F191" s="3250">
        <v>30.45</v>
      </c>
      <c r="G191" s="3250"/>
      <c r="H191" s="3250"/>
      <c r="I191" s="3250"/>
    </row>
    <row r="192" spans="1:9" x14ac:dyDescent="0.2">
      <c r="A192" s="3249">
        <v>191</v>
      </c>
      <c r="B192" s="3249">
        <v>-3</v>
      </c>
      <c r="C192" s="3487"/>
      <c r="D192" s="3249" t="s">
        <v>3435</v>
      </c>
      <c r="E192" s="3248" t="s">
        <v>3222</v>
      </c>
      <c r="F192" s="3250">
        <v>30.45</v>
      </c>
      <c r="G192" s="3250"/>
      <c r="H192" s="3250"/>
      <c r="I192" s="3250"/>
    </row>
    <row r="193" spans="1:9" x14ac:dyDescent="0.2">
      <c r="A193" s="3249">
        <v>192</v>
      </c>
      <c r="B193" s="3249">
        <v>-3</v>
      </c>
      <c r="C193" s="3487"/>
      <c r="D193" s="3249" t="s">
        <v>3436</v>
      </c>
      <c r="E193" s="3248" t="s">
        <v>3222</v>
      </c>
      <c r="F193" s="3250">
        <v>30.45</v>
      </c>
      <c r="G193" s="3250"/>
      <c r="H193" s="3250"/>
      <c r="I193" s="3250"/>
    </row>
    <row r="194" spans="1:9" x14ac:dyDescent="0.2">
      <c r="A194" s="3249">
        <v>193</v>
      </c>
      <c r="B194" s="3249">
        <v>-3</v>
      </c>
      <c r="C194" s="3487"/>
      <c r="D194" s="3249" t="s">
        <v>3437</v>
      </c>
      <c r="E194" s="3248" t="s">
        <v>3222</v>
      </c>
      <c r="F194" s="3250">
        <v>30.45</v>
      </c>
      <c r="G194" s="3250"/>
      <c r="H194" s="3250"/>
      <c r="I194" s="3250"/>
    </row>
    <row r="195" spans="1:9" x14ac:dyDescent="0.2">
      <c r="A195" s="3249">
        <v>194</v>
      </c>
      <c r="B195" s="3249">
        <v>-3</v>
      </c>
      <c r="C195" s="3487"/>
      <c r="D195" s="3249" t="s">
        <v>3438</v>
      </c>
      <c r="E195" s="3248" t="s">
        <v>3222</v>
      </c>
      <c r="F195" s="3250">
        <v>30.45</v>
      </c>
      <c r="G195" s="3250"/>
      <c r="H195" s="3250"/>
      <c r="I195" s="3250"/>
    </row>
    <row r="196" spans="1:9" x14ac:dyDescent="0.2">
      <c r="A196" s="3249">
        <v>195</v>
      </c>
      <c r="B196" s="3249">
        <v>-3</v>
      </c>
      <c r="C196" s="3487"/>
      <c r="D196" s="3249" t="s">
        <v>3439</v>
      </c>
      <c r="E196" s="3248" t="s">
        <v>3222</v>
      </c>
      <c r="F196" s="3250">
        <v>30.45</v>
      </c>
      <c r="G196" s="3250"/>
      <c r="H196" s="3250"/>
      <c r="I196" s="3250"/>
    </row>
    <row r="197" spans="1:9" x14ac:dyDescent="0.2">
      <c r="A197" s="3249">
        <v>196</v>
      </c>
      <c r="B197" s="3249">
        <v>-3</v>
      </c>
      <c r="C197" s="3487"/>
      <c r="D197" s="3249" t="s">
        <v>3440</v>
      </c>
      <c r="E197" s="3248" t="s">
        <v>3222</v>
      </c>
      <c r="F197" s="3250">
        <v>30.45</v>
      </c>
      <c r="G197" s="3250"/>
      <c r="H197" s="3250"/>
      <c r="I197" s="3250"/>
    </row>
    <row r="198" spans="1:9" x14ac:dyDescent="0.2">
      <c r="A198" s="3249">
        <v>197</v>
      </c>
      <c r="B198" s="3249">
        <v>-3</v>
      </c>
      <c r="C198" s="3487"/>
      <c r="D198" s="3249" t="s">
        <v>3441</v>
      </c>
      <c r="E198" s="3248" t="s">
        <v>3222</v>
      </c>
      <c r="F198" s="3250">
        <v>30.45</v>
      </c>
      <c r="G198" s="3250"/>
      <c r="H198" s="3250"/>
      <c r="I198" s="3250"/>
    </row>
    <row r="199" spans="1:9" x14ac:dyDescent="0.2">
      <c r="A199" s="3249">
        <v>198</v>
      </c>
      <c r="B199" s="3249">
        <v>-3</v>
      </c>
      <c r="C199" s="3487"/>
      <c r="D199" s="3249" t="s">
        <v>3442</v>
      </c>
      <c r="E199" s="3248" t="s">
        <v>3222</v>
      </c>
      <c r="F199" s="3250">
        <v>30.45</v>
      </c>
      <c r="G199" s="3250"/>
      <c r="H199" s="3250"/>
      <c r="I199" s="3250"/>
    </row>
    <row r="200" spans="1:9" x14ac:dyDescent="0.2">
      <c r="A200" s="3249">
        <v>199</v>
      </c>
      <c r="B200" s="3249">
        <v>-3</v>
      </c>
      <c r="C200" s="3487"/>
      <c r="D200" s="3249" t="s">
        <v>3443</v>
      </c>
      <c r="E200" s="3248" t="s">
        <v>3222</v>
      </c>
      <c r="F200" s="3250">
        <v>30.45</v>
      </c>
      <c r="G200" s="3250"/>
      <c r="H200" s="3250"/>
      <c r="I200" s="3250"/>
    </row>
    <row r="201" spans="1:9" x14ac:dyDescent="0.2">
      <c r="A201" s="3249">
        <v>200</v>
      </c>
      <c r="B201" s="3249">
        <v>-3</v>
      </c>
      <c r="C201" s="3487"/>
      <c r="D201" s="3249" t="s">
        <v>3444</v>
      </c>
      <c r="E201" s="3248" t="s">
        <v>3222</v>
      </c>
      <c r="F201" s="3250">
        <v>30.45</v>
      </c>
      <c r="G201" s="3250"/>
      <c r="H201" s="3250"/>
      <c r="I201" s="3250"/>
    </row>
    <row r="202" spans="1:9" x14ac:dyDescent="0.2">
      <c r="A202" s="3249">
        <v>201</v>
      </c>
      <c r="B202" s="3249">
        <v>-3</v>
      </c>
      <c r="C202" s="3487"/>
      <c r="D202" s="3249" t="s">
        <v>3445</v>
      </c>
      <c r="E202" s="3248" t="s">
        <v>3222</v>
      </c>
      <c r="F202" s="3250">
        <v>30.45</v>
      </c>
      <c r="G202" s="3250"/>
      <c r="H202" s="3250"/>
      <c r="I202" s="3250"/>
    </row>
    <row r="203" spans="1:9" x14ac:dyDescent="0.2">
      <c r="A203" s="3249">
        <v>202</v>
      </c>
      <c r="B203" s="3249">
        <v>-3</v>
      </c>
      <c r="C203" s="3487"/>
      <c r="D203" s="3249" t="s">
        <v>3446</v>
      </c>
      <c r="E203" s="3248" t="s">
        <v>3222</v>
      </c>
      <c r="F203" s="3250">
        <v>30.45</v>
      </c>
      <c r="G203" s="3250"/>
      <c r="H203" s="3250"/>
      <c r="I203" s="3250"/>
    </row>
    <row r="204" spans="1:9" x14ac:dyDescent="0.2">
      <c r="A204" s="3249">
        <v>203</v>
      </c>
      <c r="B204" s="3249">
        <v>-3</v>
      </c>
      <c r="C204" s="3487"/>
      <c r="D204" s="3249" t="s">
        <v>3447</v>
      </c>
      <c r="E204" s="3248" t="s">
        <v>3222</v>
      </c>
      <c r="F204" s="3250">
        <v>30.45</v>
      </c>
      <c r="G204" s="3250"/>
      <c r="H204" s="3250"/>
      <c r="I204" s="3250"/>
    </row>
    <row r="205" spans="1:9" x14ac:dyDescent="0.2">
      <c r="A205" s="3249">
        <v>204</v>
      </c>
      <c r="B205" s="3249">
        <v>-3</v>
      </c>
      <c r="C205" s="3487"/>
      <c r="D205" s="3249" t="s">
        <v>3448</v>
      </c>
      <c r="E205" s="3248" t="s">
        <v>3222</v>
      </c>
      <c r="F205" s="3250">
        <v>30.45</v>
      </c>
      <c r="G205" s="3250"/>
      <c r="H205" s="3250"/>
      <c r="I205" s="3250"/>
    </row>
    <row r="206" spans="1:9" x14ac:dyDescent="0.2">
      <c r="A206" s="3249">
        <v>205</v>
      </c>
      <c r="B206" s="3249">
        <v>-3</v>
      </c>
      <c r="C206" s="3487"/>
      <c r="D206" s="3249" t="s">
        <v>3449</v>
      </c>
      <c r="E206" s="3248" t="s">
        <v>3222</v>
      </c>
      <c r="F206" s="3250">
        <v>30.45</v>
      </c>
      <c r="G206" s="3250"/>
      <c r="H206" s="3250"/>
      <c r="I206" s="3250"/>
    </row>
    <row r="207" spans="1:9" x14ac:dyDescent="0.2">
      <c r="A207" s="3249">
        <v>206</v>
      </c>
      <c r="B207" s="3249">
        <v>-3</v>
      </c>
      <c r="C207" s="3487"/>
      <c r="D207" s="3249" t="s">
        <v>3450</v>
      </c>
      <c r="E207" s="3248" t="s">
        <v>3222</v>
      </c>
      <c r="F207" s="3250">
        <v>30.45</v>
      </c>
      <c r="G207" s="3250"/>
      <c r="H207" s="3250"/>
      <c r="I207" s="3250"/>
    </row>
    <row r="208" spans="1:9" x14ac:dyDescent="0.2">
      <c r="A208" s="3249">
        <v>207</v>
      </c>
      <c r="B208" s="3249">
        <v>-3</v>
      </c>
      <c r="C208" s="3487"/>
      <c r="D208" s="3249" t="s">
        <v>3451</v>
      </c>
      <c r="E208" s="3248" t="s">
        <v>3222</v>
      </c>
      <c r="F208" s="3250">
        <v>30.45</v>
      </c>
      <c r="G208" s="3250"/>
      <c r="H208" s="3250"/>
      <c r="I208" s="3250"/>
    </row>
    <row r="209" spans="1:9" x14ac:dyDescent="0.2">
      <c r="A209" s="3249">
        <v>208</v>
      </c>
      <c r="B209" s="3249">
        <v>-3</v>
      </c>
      <c r="C209" s="3487"/>
      <c r="D209" s="3249" t="s">
        <v>3452</v>
      </c>
      <c r="E209" s="3248" t="s">
        <v>3222</v>
      </c>
      <c r="F209" s="3250">
        <v>30.45</v>
      </c>
      <c r="G209" s="3250"/>
      <c r="H209" s="3250"/>
      <c r="I209" s="3250"/>
    </row>
    <row r="210" spans="1:9" x14ac:dyDescent="0.2">
      <c r="A210" s="3249">
        <v>209</v>
      </c>
      <c r="B210" s="3249">
        <v>-3</v>
      </c>
      <c r="C210" s="3487"/>
      <c r="D210" s="3249" t="s">
        <v>3453</v>
      </c>
      <c r="E210" s="3248" t="s">
        <v>3222</v>
      </c>
      <c r="F210" s="3250">
        <v>30.45</v>
      </c>
      <c r="G210" s="3250"/>
      <c r="H210" s="3250"/>
      <c r="I210" s="3250"/>
    </row>
    <row r="211" spans="1:9" x14ac:dyDescent="0.2">
      <c r="A211" s="3249">
        <v>210</v>
      </c>
      <c r="B211" s="3249">
        <v>-3</v>
      </c>
      <c r="C211" s="3487"/>
      <c r="D211" s="3249" t="s">
        <v>3454</v>
      </c>
      <c r="E211" s="3248" t="s">
        <v>3222</v>
      </c>
      <c r="F211" s="3250">
        <v>30.45</v>
      </c>
      <c r="G211" s="3250"/>
      <c r="H211" s="3250"/>
      <c r="I211" s="3250"/>
    </row>
    <row r="212" spans="1:9" x14ac:dyDescent="0.2">
      <c r="A212" s="3249">
        <v>211</v>
      </c>
      <c r="B212" s="3249">
        <v>-3</v>
      </c>
      <c r="C212" s="3487"/>
      <c r="D212" s="3249" t="s">
        <v>3455</v>
      </c>
      <c r="E212" s="3248" t="s">
        <v>3222</v>
      </c>
      <c r="F212" s="3250">
        <v>30.45</v>
      </c>
      <c r="G212" s="3250"/>
      <c r="H212" s="3250"/>
      <c r="I212" s="3250"/>
    </row>
    <row r="213" spans="1:9" x14ac:dyDescent="0.2">
      <c r="A213" s="3249">
        <v>212</v>
      </c>
      <c r="B213" s="3249">
        <v>-3</v>
      </c>
      <c r="C213" s="3487"/>
      <c r="D213" s="3249" t="s">
        <v>3456</v>
      </c>
      <c r="E213" s="3248" t="s">
        <v>3222</v>
      </c>
      <c r="F213" s="3250">
        <v>30.45</v>
      </c>
      <c r="G213" s="3250"/>
      <c r="H213" s="3250"/>
      <c r="I213" s="3250"/>
    </row>
    <row r="214" spans="1:9" x14ac:dyDescent="0.2">
      <c r="A214" s="3249">
        <v>213</v>
      </c>
      <c r="B214" s="3249">
        <v>-3</v>
      </c>
      <c r="C214" s="3487"/>
      <c r="D214" s="3249" t="s">
        <v>3457</v>
      </c>
      <c r="E214" s="3248" t="s">
        <v>3222</v>
      </c>
      <c r="F214" s="3250">
        <v>30.45</v>
      </c>
      <c r="G214" s="3250"/>
      <c r="H214" s="3250"/>
      <c r="I214" s="3250"/>
    </row>
    <row r="215" spans="1:9" x14ac:dyDescent="0.2">
      <c r="A215" s="3249">
        <v>214</v>
      </c>
      <c r="B215" s="3249">
        <v>-3</v>
      </c>
      <c r="C215" s="3487"/>
      <c r="D215" s="3249" t="s">
        <v>3458</v>
      </c>
      <c r="E215" s="3248" t="s">
        <v>3222</v>
      </c>
      <c r="F215" s="3250">
        <v>30.45</v>
      </c>
      <c r="G215" s="3250"/>
      <c r="H215" s="3250"/>
      <c r="I215" s="3250"/>
    </row>
    <row r="216" spans="1:9" x14ac:dyDescent="0.2">
      <c r="A216" s="3249">
        <v>215</v>
      </c>
      <c r="B216" s="3249">
        <v>-3</v>
      </c>
      <c r="C216" s="3487"/>
      <c r="D216" s="3249" t="s">
        <v>3459</v>
      </c>
      <c r="E216" s="3248" t="s">
        <v>3222</v>
      </c>
      <c r="F216" s="3250">
        <v>30.45</v>
      </c>
      <c r="G216" s="3250"/>
      <c r="H216" s="3250"/>
      <c r="I216" s="3250"/>
    </row>
    <row r="217" spans="1:9" x14ac:dyDescent="0.2">
      <c r="A217" s="3249">
        <v>216</v>
      </c>
      <c r="B217" s="3249">
        <v>-3</v>
      </c>
      <c r="C217" s="3487"/>
      <c r="D217" s="3249" t="s">
        <v>3460</v>
      </c>
      <c r="E217" s="3248" t="s">
        <v>3222</v>
      </c>
      <c r="F217" s="3250">
        <v>30.45</v>
      </c>
      <c r="G217" s="3250"/>
      <c r="H217" s="3250"/>
      <c r="I217" s="3250"/>
    </row>
    <row r="218" spans="1:9" x14ac:dyDescent="0.2">
      <c r="A218" s="3249">
        <v>217</v>
      </c>
      <c r="B218" s="3249">
        <v>-3</v>
      </c>
      <c r="C218" s="3487"/>
      <c r="D218" s="3249" t="s">
        <v>3461</v>
      </c>
      <c r="E218" s="3248" t="s">
        <v>3222</v>
      </c>
      <c r="F218" s="3250">
        <v>30.45</v>
      </c>
      <c r="G218" s="3250"/>
      <c r="H218" s="3250"/>
      <c r="I218" s="3250"/>
    </row>
    <row r="219" spans="1:9" x14ac:dyDescent="0.2">
      <c r="A219" s="3249">
        <v>218</v>
      </c>
      <c r="B219" s="3249">
        <v>-3</v>
      </c>
      <c r="C219" s="3487"/>
      <c r="D219" s="3249" t="s">
        <v>3462</v>
      </c>
      <c r="E219" s="3248" t="s">
        <v>3222</v>
      </c>
      <c r="F219" s="3250">
        <v>30.45</v>
      </c>
      <c r="G219" s="3250"/>
      <c r="H219" s="3250"/>
      <c r="I219" s="3250"/>
    </row>
    <row r="220" spans="1:9" x14ac:dyDescent="0.2">
      <c r="A220" s="3249">
        <v>219</v>
      </c>
      <c r="B220" s="3249">
        <v>-3</v>
      </c>
      <c r="C220" s="3487"/>
      <c r="D220" s="3249" t="s">
        <v>3463</v>
      </c>
      <c r="E220" s="3248" t="s">
        <v>3222</v>
      </c>
      <c r="F220" s="3250">
        <v>30.45</v>
      </c>
      <c r="G220" s="3250"/>
      <c r="H220" s="3250"/>
      <c r="I220" s="3250"/>
    </row>
    <row r="221" spans="1:9" x14ac:dyDescent="0.2">
      <c r="A221" s="3249">
        <v>220</v>
      </c>
      <c r="B221" s="3249">
        <v>-3</v>
      </c>
      <c r="C221" s="3487"/>
      <c r="D221" s="3249" t="s">
        <v>3464</v>
      </c>
      <c r="E221" s="3248" t="s">
        <v>3222</v>
      </c>
      <c r="F221" s="3250">
        <v>30.45</v>
      </c>
      <c r="G221" s="3250"/>
      <c r="H221" s="3250"/>
      <c r="I221" s="3250"/>
    </row>
    <row r="222" spans="1:9" x14ac:dyDescent="0.2">
      <c r="A222" s="3249">
        <v>221</v>
      </c>
      <c r="B222" s="3249">
        <v>-3</v>
      </c>
      <c r="C222" s="3487"/>
      <c r="D222" s="3249" t="s">
        <v>3465</v>
      </c>
      <c r="E222" s="3248" t="s">
        <v>3222</v>
      </c>
      <c r="F222" s="3250">
        <v>30.45</v>
      </c>
      <c r="G222" s="3250"/>
      <c r="H222" s="3250"/>
      <c r="I222" s="3250"/>
    </row>
    <row r="223" spans="1:9" x14ac:dyDescent="0.2">
      <c r="A223" s="3249">
        <v>222</v>
      </c>
      <c r="B223" s="3249">
        <v>-3</v>
      </c>
      <c r="C223" s="3487"/>
      <c r="D223" s="3249" t="s">
        <v>3466</v>
      </c>
      <c r="E223" s="3248" t="s">
        <v>3222</v>
      </c>
      <c r="F223" s="3250">
        <v>30.45</v>
      </c>
      <c r="G223" s="3250"/>
      <c r="H223" s="3250"/>
      <c r="I223" s="3250"/>
    </row>
    <row r="224" spans="1:9" x14ac:dyDescent="0.2">
      <c r="A224" s="3249">
        <v>223</v>
      </c>
      <c r="B224" s="3249">
        <v>-3</v>
      </c>
      <c r="C224" s="3487"/>
      <c r="D224" s="3249" t="s">
        <v>3467</v>
      </c>
      <c r="E224" s="3248" t="s">
        <v>3222</v>
      </c>
      <c r="F224" s="3250">
        <v>30.45</v>
      </c>
      <c r="G224" s="3250"/>
      <c r="H224" s="3250"/>
      <c r="I224" s="3250"/>
    </row>
    <row r="225" spans="1:9" x14ac:dyDescent="0.2">
      <c r="A225" s="3249">
        <v>224</v>
      </c>
      <c r="B225" s="3249">
        <v>-3</v>
      </c>
      <c r="C225" s="3487"/>
      <c r="D225" s="3249" t="s">
        <v>3468</v>
      </c>
      <c r="E225" s="3248" t="s">
        <v>3222</v>
      </c>
      <c r="F225" s="3250">
        <v>30.45</v>
      </c>
      <c r="G225" s="3250"/>
      <c r="H225" s="3250"/>
      <c r="I225" s="3250"/>
    </row>
    <row r="226" spans="1:9" x14ac:dyDescent="0.2">
      <c r="A226" s="3249">
        <v>225</v>
      </c>
      <c r="B226" s="3249">
        <v>-3</v>
      </c>
      <c r="C226" s="3487"/>
      <c r="D226" s="3249" t="s">
        <v>3469</v>
      </c>
      <c r="E226" s="3248" t="s">
        <v>3222</v>
      </c>
      <c r="F226" s="3250">
        <v>42.51</v>
      </c>
      <c r="G226" s="3250"/>
      <c r="H226" s="3250"/>
      <c r="I226" s="3250"/>
    </row>
    <row r="227" spans="1:9" x14ac:dyDescent="0.2">
      <c r="A227" s="3249">
        <v>226</v>
      </c>
      <c r="B227" s="3249">
        <v>-3</v>
      </c>
      <c r="C227" s="3487"/>
      <c r="D227" s="3249" t="s">
        <v>3470</v>
      </c>
      <c r="E227" s="3248" t="s">
        <v>3222</v>
      </c>
      <c r="F227" s="3250">
        <v>30.45</v>
      </c>
      <c r="G227" s="3250"/>
      <c r="H227" s="3250"/>
      <c r="I227" s="3250"/>
    </row>
    <row r="228" spans="1:9" x14ac:dyDescent="0.2">
      <c r="A228" s="3249">
        <v>227</v>
      </c>
      <c r="B228" s="3249">
        <v>-3</v>
      </c>
      <c r="C228" s="3487"/>
      <c r="D228" s="3249" t="s">
        <v>3471</v>
      </c>
      <c r="E228" s="3248" t="s">
        <v>3222</v>
      </c>
      <c r="F228" s="3250">
        <v>30.45</v>
      </c>
      <c r="G228" s="3250"/>
      <c r="H228" s="3250"/>
      <c r="I228" s="3250"/>
    </row>
    <row r="229" spans="1:9" x14ac:dyDescent="0.2">
      <c r="A229" s="3249">
        <v>228</v>
      </c>
      <c r="B229" s="3249">
        <v>-3</v>
      </c>
      <c r="C229" s="3487"/>
      <c r="D229" s="3249" t="s">
        <v>3472</v>
      </c>
      <c r="E229" s="3248" t="s">
        <v>3222</v>
      </c>
      <c r="F229" s="3250">
        <v>30.45</v>
      </c>
      <c r="G229" s="3250"/>
      <c r="H229" s="3250"/>
      <c r="I229" s="3250"/>
    </row>
    <row r="230" spans="1:9" x14ac:dyDescent="0.2">
      <c r="A230" s="3249">
        <v>229</v>
      </c>
      <c r="B230" s="3249">
        <v>-3</v>
      </c>
      <c r="C230" s="3487"/>
      <c r="D230" s="3249" t="s">
        <v>3473</v>
      </c>
      <c r="E230" s="3248" t="s">
        <v>3222</v>
      </c>
      <c r="F230" s="3250">
        <v>30.45</v>
      </c>
      <c r="G230" s="3250"/>
      <c r="H230" s="3250"/>
      <c r="I230" s="3250"/>
    </row>
    <row r="231" spans="1:9" x14ac:dyDescent="0.2">
      <c r="A231" s="3249">
        <v>230</v>
      </c>
      <c r="B231" s="3249">
        <v>-3</v>
      </c>
      <c r="C231" s="3487"/>
      <c r="D231" s="3249" t="s">
        <v>3474</v>
      </c>
      <c r="E231" s="3248" t="s">
        <v>3222</v>
      </c>
      <c r="F231" s="3250">
        <v>30.45</v>
      </c>
      <c r="G231" s="3250"/>
      <c r="H231" s="3250"/>
      <c r="I231" s="3250"/>
    </row>
    <row r="232" spans="1:9" x14ac:dyDescent="0.2">
      <c r="A232" s="3249">
        <v>231</v>
      </c>
      <c r="B232" s="3249">
        <v>-3</v>
      </c>
      <c r="C232" s="3487"/>
      <c r="D232" s="3249" t="s">
        <v>3475</v>
      </c>
      <c r="E232" s="3248" t="s">
        <v>3222</v>
      </c>
      <c r="F232" s="3250">
        <v>30.45</v>
      </c>
      <c r="G232" s="3250"/>
      <c r="H232" s="3250"/>
      <c r="I232" s="3250"/>
    </row>
    <row r="233" spans="1:9" x14ac:dyDescent="0.2">
      <c r="A233" s="3249">
        <v>232</v>
      </c>
      <c r="B233" s="3249">
        <v>-3</v>
      </c>
      <c r="C233" s="3487"/>
      <c r="D233" s="3249" t="s">
        <v>3476</v>
      </c>
      <c r="E233" s="3248" t="s">
        <v>3222</v>
      </c>
      <c r="F233" s="3250">
        <v>30.45</v>
      </c>
      <c r="G233" s="3250"/>
      <c r="H233" s="3250"/>
      <c r="I233" s="3250"/>
    </row>
    <row r="234" spans="1:9" x14ac:dyDescent="0.2">
      <c r="A234" s="3249">
        <v>233</v>
      </c>
      <c r="B234" s="3249">
        <v>-3</v>
      </c>
      <c r="C234" s="3487"/>
      <c r="D234" s="3249" t="s">
        <v>3477</v>
      </c>
      <c r="E234" s="3248" t="s">
        <v>3222</v>
      </c>
      <c r="F234" s="3250">
        <v>30.45</v>
      </c>
      <c r="G234" s="3250"/>
      <c r="H234" s="3250"/>
      <c r="I234" s="3250"/>
    </row>
    <row r="235" spans="1:9" x14ac:dyDescent="0.2">
      <c r="A235" s="3249">
        <v>234</v>
      </c>
      <c r="B235" s="3249">
        <v>-3</v>
      </c>
      <c r="C235" s="3487"/>
      <c r="D235" s="3249" t="s">
        <v>3478</v>
      </c>
      <c r="E235" s="3248" t="s">
        <v>3222</v>
      </c>
      <c r="F235" s="3250">
        <v>30.45</v>
      </c>
      <c r="G235" s="3250"/>
      <c r="H235" s="3250"/>
      <c r="I235" s="3250"/>
    </row>
    <row r="236" spans="1:9" x14ac:dyDescent="0.2">
      <c r="A236" s="3249">
        <v>235</v>
      </c>
      <c r="B236" s="3249">
        <v>-3</v>
      </c>
      <c r="C236" s="3487"/>
      <c r="D236" s="3249" t="s">
        <v>3479</v>
      </c>
      <c r="E236" s="3248" t="s">
        <v>3222</v>
      </c>
      <c r="F236" s="3250">
        <v>30.45</v>
      </c>
      <c r="G236" s="3250"/>
      <c r="H236" s="3250"/>
      <c r="I236" s="3250"/>
    </row>
    <row r="237" spans="1:9" x14ac:dyDescent="0.2">
      <c r="A237" s="3249">
        <v>236</v>
      </c>
      <c r="B237" s="3249">
        <v>-3</v>
      </c>
      <c r="C237" s="3487"/>
      <c r="D237" s="3249" t="s">
        <v>3480</v>
      </c>
      <c r="E237" s="3248" t="s">
        <v>3222</v>
      </c>
      <c r="F237" s="3250">
        <v>30.45</v>
      </c>
      <c r="G237" s="3250"/>
      <c r="H237" s="3250"/>
      <c r="I237" s="3250"/>
    </row>
    <row r="238" spans="1:9" x14ac:dyDescent="0.2">
      <c r="A238" s="3249">
        <v>237</v>
      </c>
      <c r="B238" s="3249">
        <v>-3</v>
      </c>
      <c r="C238" s="3487"/>
      <c r="D238" s="3249" t="s">
        <v>3481</v>
      </c>
      <c r="E238" s="3248" t="s">
        <v>3222</v>
      </c>
      <c r="F238" s="3250">
        <v>30.45</v>
      </c>
      <c r="G238" s="3250"/>
      <c r="H238" s="3250"/>
      <c r="I238" s="3250"/>
    </row>
    <row r="239" spans="1:9" x14ac:dyDescent="0.2">
      <c r="A239" s="3249">
        <v>238</v>
      </c>
      <c r="B239" s="3249">
        <v>-3</v>
      </c>
      <c r="C239" s="3487"/>
      <c r="D239" s="3249" t="s">
        <v>3482</v>
      </c>
      <c r="E239" s="3248" t="s">
        <v>3222</v>
      </c>
      <c r="F239" s="3250">
        <v>30.45</v>
      </c>
      <c r="G239" s="3250"/>
      <c r="H239" s="3250"/>
      <c r="I239" s="3250"/>
    </row>
    <row r="240" spans="1:9" x14ac:dyDescent="0.2">
      <c r="A240" s="3249">
        <v>239</v>
      </c>
      <c r="B240" s="3249">
        <v>-3</v>
      </c>
      <c r="C240" s="3487"/>
      <c r="D240" s="3249" t="s">
        <v>3483</v>
      </c>
      <c r="E240" s="3248" t="s">
        <v>3222</v>
      </c>
      <c r="F240" s="3250">
        <v>30.45</v>
      </c>
      <c r="G240" s="3250"/>
      <c r="H240" s="3250"/>
      <c r="I240" s="3250"/>
    </row>
    <row r="241" spans="1:9" x14ac:dyDescent="0.2">
      <c r="A241" s="3249">
        <v>240</v>
      </c>
      <c r="B241" s="3249">
        <v>-3</v>
      </c>
      <c r="C241" s="3487"/>
      <c r="D241" s="3249" t="s">
        <v>3484</v>
      </c>
      <c r="E241" s="3248" t="s">
        <v>3222</v>
      </c>
      <c r="F241" s="3250">
        <v>30.45</v>
      </c>
      <c r="G241" s="3250"/>
      <c r="H241" s="3250"/>
      <c r="I241" s="3250"/>
    </row>
    <row r="242" spans="1:9" x14ac:dyDescent="0.2">
      <c r="A242" s="3249">
        <v>241</v>
      </c>
      <c r="B242" s="3249">
        <v>-3</v>
      </c>
      <c r="C242" s="3487"/>
      <c r="D242" s="3249" t="s">
        <v>3485</v>
      </c>
      <c r="E242" s="3248" t="s">
        <v>3222</v>
      </c>
      <c r="F242" s="3250">
        <v>30.45</v>
      </c>
      <c r="G242" s="3250"/>
      <c r="H242" s="3250"/>
      <c r="I242" s="3250"/>
    </row>
    <row r="243" spans="1:9" x14ac:dyDescent="0.2">
      <c r="A243" s="3249">
        <v>242</v>
      </c>
      <c r="B243" s="3249">
        <v>-3</v>
      </c>
      <c r="C243" s="3487"/>
      <c r="D243" s="3249" t="s">
        <v>3486</v>
      </c>
      <c r="E243" s="3248" t="s">
        <v>3222</v>
      </c>
      <c r="F243" s="3250">
        <v>30.45</v>
      </c>
      <c r="G243" s="3250"/>
      <c r="H243" s="3250"/>
      <c r="I243" s="3250"/>
    </row>
    <row r="244" spans="1:9" x14ac:dyDescent="0.2">
      <c r="A244" s="3249">
        <v>243</v>
      </c>
      <c r="B244" s="3249">
        <v>-3</v>
      </c>
      <c r="C244" s="3487"/>
      <c r="D244" s="3249" t="s">
        <v>3487</v>
      </c>
      <c r="E244" s="3248" t="s">
        <v>3222</v>
      </c>
      <c r="F244" s="3250">
        <v>30.45</v>
      </c>
      <c r="G244" s="3250"/>
      <c r="H244" s="3250"/>
      <c r="I244" s="3250"/>
    </row>
    <row r="245" spans="1:9" x14ac:dyDescent="0.2">
      <c r="A245" s="3249">
        <v>244</v>
      </c>
      <c r="B245" s="3249">
        <v>-3</v>
      </c>
      <c r="C245" s="3487"/>
      <c r="D245" s="3249" t="s">
        <v>3488</v>
      </c>
      <c r="E245" s="3248" t="s">
        <v>3222</v>
      </c>
      <c r="F245" s="3250">
        <v>30.45</v>
      </c>
      <c r="G245" s="3250"/>
      <c r="H245" s="3250"/>
      <c r="I245" s="3250"/>
    </row>
    <row r="246" spans="1:9" x14ac:dyDescent="0.2">
      <c r="A246" s="3249">
        <v>245</v>
      </c>
      <c r="B246" s="3249">
        <v>-3</v>
      </c>
      <c r="C246" s="3487"/>
      <c r="D246" s="3249" t="s">
        <v>3489</v>
      </c>
      <c r="E246" s="3248" t="s">
        <v>3222</v>
      </c>
      <c r="F246" s="3250">
        <v>30.45</v>
      </c>
      <c r="G246" s="3250"/>
      <c r="H246" s="3250"/>
      <c r="I246" s="3250"/>
    </row>
    <row r="247" spans="1:9" x14ac:dyDescent="0.2">
      <c r="A247" s="3249">
        <v>246</v>
      </c>
      <c r="B247" s="3249">
        <v>-3</v>
      </c>
      <c r="C247" s="3487"/>
      <c r="D247" s="3249" t="s">
        <v>3490</v>
      </c>
      <c r="E247" s="3248" t="s">
        <v>3222</v>
      </c>
      <c r="F247" s="3250">
        <v>30.45</v>
      </c>
      <c r="G247" s="3250"/>
      <c r="H247" s="3250"/>
      <c r="I247" s="3250"/>
    </row>
    <row r="248" spans="1:9" x14ac:dyDescent="0.2">
      <c r="A248" s="3249">
        <v>247</v>
      </c>
      <c r="B248" s="3249">
        <v>-3</v>
      </c>
      <c r="C248" s="3487"/>
      <c r="D248" s="3249" t="s">
        <v>3491</v>
      </c>
      <c r="E248" s="3248" t="s">
        <v>3222</v>
      </c>
      <c r="F248" s="3250">
        <v>30.45</v>
      </c>
      <c r="G248" s="3250"/>
      <c r="H248" s="3250"/>
      <c r="I248" s="3250"/>
    </row>
    <row r="249" spans="1:9" x14ac:dyDescent="0.2">
      <c r="A249" s="3249">
        <v>248</v>
      </c>
      <c r="B249" s="3249">
        <v>-3</v>
      </c>
      <c r="C249" s="3487"/>
      <c r="D249" s="3249" t="s">
        <v>3492</v>
      </c>
      <c r="E249" s="3248" t="s">
        <v>3222</v>
      </c>
      <c r="F249" s="3250">
        <v>30.45</v>
      </c>
      <c r="G249" s="3250"/>
      <c r="H249" s="3250"/>
      <c r="I249" s="3250"/>
    </row>
    <row r="250" spans="1:9" x14ac:dyDescent="0.2">
      <c r="A250" s="3249">
        <v>249</v>
      </c>
      <c r="B250" s="3249">
        <v>-3</v>
      </c>
      <c r="C250" s="3487"/>
      <c r="D250" s="3249" t="s">
        <v>3493</v>
      </c>
      <c r="E250" s="3248" t="s">
        <v>3222</v>
      </c>
      <c r="F250" s="3250">
        <v>30.45</v>
      </c>
      <c r="G250" s="3250"/>
      <c r="H250" s="3250"/>
      <c r="I250" s="3250"/>
    </row>
    <row r="251" spans="1:9" x14ac:dyDescent="0.2">
      <c r="A251" s="3249">
        <v>250</v>
      </c>
      <c r="B251" s="3249">
        <v>-3</v>
      </c>
      <c r="C251" s="3487"/>
      <c r="D251" s="3249" t="s">
        <v>3494</v>
      </c>
      <c r="E251" s="3248" t="s">
        <v>3222</v>
      </c>
      <c r="F251" s="3250">
        <v>30.45</v>
      </c>
      <c r="G251" s="3250"/>
      <c r="H251" s="3250"/>
      <c r="I251" s="3250"/>
    </row>
    <row r="252" spans="1:9" x14ac:dyDescent="0.2">
      <c r="A252" s="3249">
        <v>251</v>
      </c>
      <c r="B252" s="3249">
        <v>-3</v>
      </c>
      <c r="C252" s="3487"/>
      <c r="D252" s="3249" t="s">
        <v>3495</v>
      </c>
      <c r="E252" s="3248" t="s">
        <v>3222</v>
      </c>
      <c r="F252" s="3250">
        <v>30.45</v>
      </c>
      <c r="G252" s="3250"/>
      <c r="H252" s="3250"/>
      <c r="I252" s="3250"/>
    </row>
    <row r="253" spans="1:9" x14ac:dyDescent="0.2">
      <c r="A253" s="3249">
        <v>252</v>
      </c>
      <c r="B253" s="3249">
        <v>-3</v>
      </c>
      <c r="C253" s="3487"/>
      <c r="D253" s="3249" t="s">
        <v>3496</v>
      </c>
      <c r="E253" s="3248" t="s">
        <v>3222</v>
      </c>
      <c r="F253" s="3250">
        <v>30.45</v>
      </c>
      <c r="G253" s="3250"/>
      <c r="H253" s="3250"/>
      <c r="I253" s="3250"/>
    </row>
    <row r="254" spans="1:9" x14ac:dyDescent="0.2">
      <c r="A254" s="3249">
        <v>253</v>
      </c>
      <c r="B254" s="3249">
        <v>-3</v>
      </c>
      <c r="C254" s="3487"/>
      <c r="D254" s="3249" t="s">
        <v>3497</v>
      </c>
      <c r="E254" s="3248" t="s">
        <v>3222</v>
      </c>
      <c r="F254" s="3250">
        <v>30.45</v>
      </c>
      <c r="G254" s="3250"/>
      <c r="H254" s="3250"/>
      <c r="I254" s="3250"/>
    </row>
    <row r="255" spans="1:9" x14ac:dyDescent="0.2">
      <c r="A255" s="3249">
        <v>254</v>
      </c>
      <c r="B255" s="3249">
        <v>-3</v>
      </c>
      <c r="C255" s="3487"/>
      <c r="D255" s="3249" t="s">
        <v>3498</v>
      </c>
      <c r="E255" s="3248" t="s">
        <v>3222</v>
      </c>
      <c r="F255" s="3250">
        <v>30.45</v>
      </c>
      <c r="G255" s="3250"/>
      <c r="H255" s="3250"/>
      <c r="I255" s="3250"/>
    </row>
    <row r="256" spans="1:9" x14ac:dyDescent="0.2">
      <c r="A256" s="3249">
        <v>255</v>
      </c>
      <c r="B256" s="3249">
        <v>-3</v>
      </c>
      <c r="C256" s="3487"/>
      <c r="D256" s="3249" t="s">
        <v>3499</v>
      </c>
      <c r="E256" s="3248" t="s">
        <v>3222</v>
      </c>
      <c r="F256" s="3250">
        <v>30.45</v>
      </c>
      <c r="G256" s="3250"/>
      <c r="H256" s="3250"/>
      <c r="I256" s="3250"/>
    </row>
    <row r="257" spans="1:9" x14ac:dyDescent="0.2">
      <c r="A257" s="3249">
        <v>256</v>
      </c>
      <c r="B257" s="3249">
        <v>-3</v>
      </c>
      <c r="C257" s="3487"/>
      <c r="D257" s="3249" t="s">
        <v>3500</v>
      </c>
      <c r="E257" s="3248" t="s">
        <v>3222</v>
      </c>
      <c r="F257" s="3250">
        <v>30.45</v>
      </c>
      <c r="G257" s="3250"/>
      <c r="H257" s="3250"/>
      <c r="I257" s="3250"/>
    </row>
    <row r="258" spans="1:9" x14ac:dyDescent="0.2">
      <c r="A258" s="3249">
        <v>257</v>
      </c>
      <c r="B258" s="3249">
        <v>-3</v>
      </c>
      <c r="C258" s="3487"/>
      <c r="D258" s="3249" t="s">
        <v>3501</v>
      </c>
      <c r="E258" s="3248" t="s">
        <v>3222</v>
      </c>
      <c r="F258" s="3250">
        <v>30.45</v>
      </c>
      <c r="G258" s="3250"/>
      <c r="H258" s="3250"/>
      <c r="I258" s="3250"/>
    </row>
    <row r="259" spans="1:9" x14ac:dyDescent="0.2">
      <c r="A259" s="3249">
        <v>258</v>
      </c>
      <c r="B259" s="3249">
        <v>-3</v>
      </c>
      <c r="C259" s="3487"/>
      <c r="D259" s="3249" t="s">
        <v>3502</v>
      </c>
      <c r="E259" s="3248" t="s">
        <v>3222</v>
      </c>
      <c r="F259" s="3250">
        <v>30.45</v>
      </c>
      <c r="G259" s="3250"/>
      <c r="H259" s="3250"/>
      <c r="I259" s="3250"/>
    </row>
    <row r="260" spans="1:9" x14ac:dyDescent="0.2">
      <c r="A260" s="3249">
        <v>259</v>
      </c>
      <c r="B260" s="3249">
        <v>-3</v>
      </c>
      <c r="C260" s="3487"/>
      <c r="D260" s="3249" t="s">
        <v>3503</v>
      </c>
      <c r="E260" s="3248" t="s">
        <v>3222</v>
      </c>
      <c r="F260" s="3250">
        <v>30.45</v>
      </c>
      <c r="G260" s="3250"/>
      <c r="H260" s="3250"/>
      <c r="I260" s="3250"/>
    </row>
    <row r="261" spans="1:9" x14ac:dyDescent="0.2">
      <c r="A261" s="3249">
        <v>260</v>
      </c>
      <c r="B261" s="3249">
        <v>-3</v>
      </c>
      <c r="C261" s="3487"/>
      <c r="D261" s="3249" t="s">
        <v>3504</v>
      </c>
      <c r="E261" s="3248" t="s">
        <v>3222</v>
      </c>
      <c r="F261" s="3250">
        <v>30.45</v>
      </c>
      <c r="G261" s="3250"/>
      <c r="H261" s="3250"/>
      <c r="I261" s="3250"/>
    </row>
    <row r="262" spans="1:9" x14ac:dyDescent="0.2">
      <c r="A262" s="3249">
        <v>261</v>
      </c>
      <c r="B262" s="3249">
        <v>-3</v>
      </c>
      <c r="C262" s="3487"/>
      <c r="D262" s="3249" t="s">
        <v>3505</v>
      </c>
      <c r="E262" s="3248" t="s">
        <v>3222</v>
      </c>
      <c r="F262" s="3250">
        <v>30.45</v>
      </c>
      <c r="G262" s="3250"/>
      <c r="H262" s="3250"/>
      <c r="I262" s="3250"/>
    </row>
    <row r="263" spans="1:9" x14ac:dyDescent="0.2">
      <c r="A263" s="3249">
        <v>262</v>
      </c>
      <c r="B263" s="3249">
        <v>-3</v>
      </c>
      <c r="C263" s="3487"/>
      <c r="D263" s="3249" t="s">
        <v>3506</v>
      </c>
      <c r="E263" s="3248" t="s">
        <v>3222</v>
      </c>
      <c r="F263" s="3250">
        <v>30.45</v>
      </c>
      <c r="G263" s="3250"/>
      <c r="H263" s="3250"/>
      <c r="I263" s="3250"/>
    </row>
    <row r="264" spans="1:9" x14ac:dyDescent="0.2">
      <c r="A264" s="3249">
        <v>263</v>
      </c>
      <c r="B264" s="3249">
        <v>-3</v>
      </c>
      <c r="C264" s="3487"/>
      <c r="D264" s="3249" t="s">
        <v>3507</v>
      </c>
      <c r="E264" s="3248" t="s">
        <v>3222</v>
      </c>
      <c r="F264" s="3250">
        <v>30.45</v>
      </c>
      <c r="G264" s="3250"/>
      <c r="H264" s="3250"/>
      <c r="I264" s="3250"/>
    </row>
    <row r="265" spans="1:9" x14ac:dyDescent="0.2">
      <c r="A265" s="3249">
        <v>264</v>
      </c>
      <c r="B265" s="3249">
        <v>-3</v>
      </c>
      <c r="C265" s="3487"/>
      <c r="D265" s="3249" t="s">
        <v>3508</v>
      </c>
      <c r="E265" s="3248" t="s">
        <v>3222</v>
      </c>
      <c r="F265" s="3250">
        <v>30.45</v>
      </c>
      <c r="G265" s="3250"/>
      <c r="H265" s="3250"/>
      <c r="I265" s="3250"/>
    </row>
    <row r="266" spans="1:9" x14ac:dyDescent="0.2">
      <c r="A266" s="3249">
        <v>265</v>
      </c>
      <c r="B266" s="3249">
        <v>-3</v>
      </c>
      <c r="C266" s="3487"/>
      <c r="D266" s="3249" t="s">
        <v>3509</v>
      </c>
      <c r="E266" s="3248" t="s">
        <v>3222</v>
      </c>
      <c r="F266" s="3250">
        <v>30.45</v>
      </c>
      <c r="G266" s="3250"/>
      <c r="H266" s="3250"/>
      <c r="I266" s="3250"/>
    </row>
    <row r="267" spans="1:9" x14ac:dyDescent="0.2">
      <c r="A267" s="3249">
        <v>266</v>
      </c>
      <c r="B267" s="3249">
        <v>-3</v>
      </c>
      <c r="C267" s="3487"/>
      <c r="D267" s="3249" t="s">
        <v>3510</v>
      </c>
      <c r="E267" s="3248" t="s">
        <v>3222</v>
      </c>
      <c r="F267" s="3250">
        <v>30.45</v>
      </c>
      <c r="G267" s="3250"/>
      <c r="H267" s="3250"/>
      <c r="I267" s="3250"/>
    </row>
    <row r="268" spans="1:9" x14ac:dyDescent="0.2">
      <c r="A268" s="3249">
        <v>267</v>
      </c>
      <c r="B268" s="3249">
        <v>-3</v>
      </c>
      <c r="C268" s="3487"/>
      <c r="D268" s="3249" t="s">
        <v>3511</v>
      </c>
      <c r="E268" s="3248" t="s">
        <v>3222</v>
      </c>
      <c r="F268" s="3250">
        <v>30.45</v>
      </c>
      <c r="G268" s="3250"/>
      <c r="H268" s="3250"/>
      <c r="I268" s="3250"/>
    </row>
    <row r="269" spans="1:9" x14ac:dyDescent="0.2">
      <c r="A269" s="3249">
        <v>268</v>
      </c>
      <c r="B269" s="3249">
        <v>-3</v>
      </c>
      <c r="C269" s="3487"/>
      <c r="D269" s="3249" t="s">
        <v>3512</v>
      </c>
      <c r="E269" s="3248" t="s">
        <v>3222</v>
      </c>
      <c r="F269" s="3250">
        <v>30.45</v>
      </c>
      <c r="G269" s="3250"/>
      <c r="H269" s="3250"/>
      <c r="I269" s="3250"/>
    </row>
    <row r="270" spans="1:9" x14ac:dyDescent="0.2">
      <c r="A270" s="3249">
        <v>269</v>
      </c>
      <c r="B270" s="3249">
        <v>-3</v>
      </c>
      <c r="C270" s="3487"/>
      <c r="D270" s="3249" t="s">
        <v>3513</v>
      </c>
      <c r="E270" s="3248" t="s">
        <v>3222</v>
      </c>
      <c r="F270" s="3250">
        <v>30.45</v>
      </c>
      <c r="G270" s="3250"/>
      <c r="H270" s="3250"/>
      <c r="I270" s="3250"/>
    </row>
    <row r="271" spans="1:9" x14ac:dyDescent="0.2">
      <c r="A271" s="3249">
        <v>270</v>
      </c>
      <c r="B271" s="3249">
        <v>-3</v>
      </c>
      <c r="C271" s="3487"/>
      <c r="D271" s="3249" t="s">
        <v>3514</v>
      </c>
      <c r="E271" s="3248" t="s">
        <v>3222</v>
      </c>
      <c r="F271" s="3250">
        <v>30.45</v>
      </c>
      <c r="G271" s="3250"/>
      <c r="H271" s="3250"/>
      <c r="I271" s="3250"/>
    </row>
    <row r="272" spans="1:9" x14ac:dyDescent="0.2">
      <c r="A272" s="3249">
        <v>271</v>
      </c>
      <c r="B272" s="3249">
        <v>-3</v>
      </c>
      <c r="C272" s="3487"/>
      <c r="D272" s="3249" t="s">
        <v>3515</v>
      </c>
      <c r="E272" s="3248" t="s">
        <v>3222</v>
      </c>
      <c r="F272" s="3250">
        <v>30.45</v>
      </c>
      <c r="G272" s="3250"/>
      <c r="H272" s="3250"/>
      <c r="I272" s="3250"/>
    </row>
    <row r="273" spans="1:9" x14ac:dyDescent="0.2">
      <c r="A273" s="3249">
        <v>272</v>
      </c>
      <c r="B273" s="3249">
        <v>-3</v>
      </c>
      <c r="C273" s="3487"/>
      <c r="D273" s="3249" t="s">
        <v>3516</v>
      </c>
      <c r="E273" s="3248" t="s">
        <v>3222</v>
      </c>
      <c r="F273" s="3250">
        <v>30.45</v>
      </c>
      <c r="G273" s="3250"/>
      <c r="H273" s="3250"/>
      <c r="I273" s="3250"/>
    </row>
    <row r="274" spans="1:9" x14ac:dyDescent="0.2">
      <c r="A274" s="3249">
        <v>273</v>
      </c>
      <c r="B274" s="3249">
        <v>-3</v>
      </c>
      <c r="C274" s="3487"/>
      <c r="D274" s="3249" t="s">
        <v>3517</v>
      </c>
      <c r="E274" s="3248" t="s">
        <v>3222</v>
      </c>
      <c r="F274" s="3250">
        <v>30.45</v>
      </c>
      <c r="G274" s="3250"/>
      <c r="H274" s="3250"/>
      <c r="I274" s="3250"/>
    </row>
    <row r="275" spans="1:9" x14ac:dyDescent="0.2">
      <c r="A275" s="3249">
        <v>274</v>
      </c>
      <c r="B275" s="3249">
        <v>-3</v>
      </c>
      <c r="C275" s="3487"/>
      <c r="D275" s="3249" t="s">
        <v>3518</v>
      </c>
      <c r="E275" s="3248" t="s">
        <v>3222</v>
      </c>
      <c r="F275" s="3250">
        <v>30.45</v>
      </c>
      <c r="G275" s="3250"/>
      <c r="H275" s="3250"/>
      <c r="I275" s="3250"/>
    </row>
    <row r="276" spans="1:9" x14ac:dyDescent="0.2">
      <c r="A276" s="3249">
        <v>275</v>
      </c>
      <c r="B276" s="3249">
        <v>-3</v>
      </c>
      <c r="C276" s="3487"/>
      <c r="D276" s="3249" t="s">
        <v>3519</v>
      </c>
      <c r="E276" s="3248" t="s">
        <v>3222</v>
      </c>
      <c r="F276" s="3250">
        <v>30.45</v>
      </c>
      <c r="G276" s="3250"/>
      <c r="H276" s="3250"/>
      <c r="I276" s="3250"/>
    </row>
    <row r="277" spans="1:9" x14ac:dyDescent="0.2">
      <c r="A277" s="3249">
        <v>276</v>
      </c>
      <c r="B277" s="3249">
        <v>-3</v>
      </c>
      <c r="C277" s="3487"/>
      <c r="D277" s="3249" t="s">
        <v>3520</v>
      </c>
      <c r="E277" s="3248" t="s">
        <v>3222</v>
      </c>
      <c r="F277" s="3250">
        <v>30.45</v>
      </c>
      <c r="G277" s="3250"/>
      <c r="H277" s="3250"/>
      <c r="I277" s="3250"/>
    </row>
    <row r="278" spans="1:9" x14ac:dyDescent="0.2">
      <c r="A278" s="3249">
        <v>277</v>
      </c>
      <c r="B278" s="3249">
        <v>-3</v>
      </c>
      <c r="C278" s="3487"/>
      <c r="D278" s="3249" t="s">
        <v>3521</v>
      </c>
      <c r="E278" s="3248" t="s">
        <v>3222</v>
      </c>
      <c r="F278" s="3250">
        <v>30.45</v>
      </c>
      <c r="G278" s="3250"/>
      <c r="H278" s="3250"/>
      <c r="I278" s="3250"/>
    </row>
    <row r="279" spans="1:9" x14ac:dyDescent="0.2">
      <c r="A279" s="3249">
        <v>278</v>
      </c>
      <c r="B279" s="3249">
        <v>-3</v>
      </c>
      <c r="C279" s="3487"/>
      <c r="D279" s="3249" t="s">
        <v>3522</v>
      </c>
      <c r="E279" s="3248" t="s">
        <v>3222</v>
      </c>
      <c r="F279" s="3250">
        <v>30.45</v>
      </c>
      <c r="G279" s="3250"/>
      <c r="H279" s="3250"/>
      <c r="I279" s="3250"/>
    </row>
    <row r="280" spans="1:9" x14ac:dyDescent="0.2">
      <c r="A280" s="3249">
        <v>279</v>
      </c>
      <c r="B280" s="3249">
        <v>-3</v>
      </c>
      <c r="C280" s="3487"/>
      <c r="D280" s="3249" t="s">
        <v>3523</v>
      </c>
      <c r="E280" s="3248" t="s">
        <v>3222</v>
      </c>
      <c r="F280" s="3250">
        <v>30.45</v>
      </c>
      <c r="G280" s="3250"/>
      <c r="H280" s="3250"/>
      <c r="I280" s="3250"/>
    </row>
    <row r="281" spans="1:9" x14ac:dyDescent="0.2">
      <c r="A281" s="3249">
        <v>280</v>
      </c>
      <c r="B281" s="3249">
        <v>-3</v>
      </c>
      <c r="C281" s="3487"/>
      <c r="D281" s="3249" t="s">
        <v>3524</v>
      </c>
      <c r="E281" s="3248" t="s">
        <v>3222</v>
      </c>
      <c r="F281" s="3250">
        <v>30.45</v>
      </c>
      <c r="G281" s="3250"/>
      <c r="H281" s="3250"/>
      <c r="I281" s="3250"/>
    </row>
    <row r="282" spans="1:9" x14ac:dyDescent="0.2">
      <c r="A282" s="3249">
        <v>281</v>
      </c>
      <c r="B282" s="3249">
        <v>-3</v>
      </c>
      <c r="C282" s="3487"/>
      <c r="D282" s="3249" t="s">
        <v>3525</v>
      </c>
      <c r="E282" s="3248" t="s">
        <v>3222</v>
      </c>
      <c r="F282" s="3250">
        <v>30.45</v>
      </c>
      <c r="G282" s="3250"/>
      <c r="H282" s="3250"/>
      <c r="I282" s="3250"/>
    </row>
    <row r="283" spans="1:9" x14ac:dyDescent="0.2">
      <c r="A283" s="3249">
        <v>282</v>
      </c>
      <c r="B283" s="3249">
        <v>-3</v>
      </c>
      <c r="C283" s="3487"/>
      <c r="D283" s="3249" t="s">
        <v>3526</v>
      </c>
      <c r="E283" s="3248" t="s">
        <v>3222</v>
      </c>
      <c r="F283" s="3250">
        <v>30.45</v>
      </c>
      <c r="G283" s="3250"/>
      <c r="H283" s="3250"/>
      <c r="I283" s="3250"/>
    </row>
    <row r="284" spans="1:9" x14ac:dyDescent="0.2">
      <c r="A284" s="3249">
        <v>283</v>
      </c>
      <c r="B284" s="3249">
        <v>-3</v>
      </c>
      <c r="C284" s="3487"/>
      <c r="D284" s="3249" t="s">
        <v>3527</v>
      </c>
      <c r="E284" s="3248" t="s">
        <v>3222</v>
      </c>
      <c r="F284" s="3250">
        <v>30.45</v>
      </c>
      <c r="G284" s="3250"/>
      <c r="H284" s="3250"/>
      <c r="I284" s="3250"/>
    </row>
    <row r="285" spans="1:9" x14ac:dyDescent="0.2">
      <c r="A285" s="3249">
        <v>284</v>
      </c>
      <c r="B285" s="3249">
        <v>-3</v>
      </c>
      <c r="C285" s="3487"/>
      <c r="D285" s="3249" t="s">
        <v>3528</v>
      </c>
      <c r="E285" s="3248" t="s">
        <v>3222</v>
      </c>
      <c r="F285" s="3250">
        <v>30.45</v>
      </c>
      <c r="G285" s="3250"/>
      <c r="H285" s="3250"/>
      <c r="I285" s="3250"/>
    </row>
    <row r="286" spans="1:9" x14ac:dyDescent="0.2">
      <c r="A286" s="3249">
        <v>285</v>
      </c>
      <c r="B286" s="3249">
        <v>-3</v>
      </c>
      <c r="C286" s="3487"/>
      <c r="D286" s="3249" t="s">
        <v>3529</v>
      </c>
      <c r="E286" s="3248" t="s">
        <v>3222</v>
      </c>
      <c r="F286" s="3250">
        <v>30.45</v>
      </c>
      <c r="G286" s="3250"/>
      <c r="H286" s="3250"/>
      <c r="I286" s="3250"/>
    </row>
    <row r="287" spans="1:9" x14ac:dyDescent="0.2">
      <c r="A287" s="3249">
        <v>286</v>
      </c>
      <c r="B287" s="3249">
        <v>-3</v>
      </c>
      <c r="C287" s="3487"/>
      <c r="D287" s="3249" t="s">
        <v>3530</v>
      </c>
      <c r="E287" s="3248" t="s">
        <v>3222</v>
      </c>
      <c r="F287" s="3250">
        <v>30.45</v>
      </c>
      <c r="G287" s="3250"/>
      <c r="H287" s="3250"/>
      <c r="I287" s="3250"/>
    </row>
    <row r="288" spans="1:9" x14ac:dyDescent="0.2">
      <c r="A288" s="3249">
        <v>287</v>
      </c>
      <c r="B288" s="3249">
        <v>-3</v>
      </c>
      <c r="C288" s="3487"/>
      <c r="D288" s="3249" t="s">
        <v>3531</v>
      </c>
      <c r="E288" s="3248" t="s">
        <v>3222</v>
      </c>
      <c r="F288" s="3250">
        <v>30.45</v>
      </c>
      <c r="G288" s="3250"/>
      <c r="H288" s="3250"/>
      <c r="I288" s="3250"/>
    </row>
    <row r="289" spans="1:9" x14ac:dyDescent="0.2">
      <c r="A289" s="3249">
        <v>288</v>
      </c>
      <c r="B289" s="3249">
        <v>-3</v>
      </c>
      <c r="C289" s="3487"/>
      <c r="D289" s="3249" t="s">
        <v>3532</v>
      </c>
      <c r="E289" s="3248" t="s">
        <v>3222</v>
      </c>
      <c r="F289" s="3250">
        <v>30.45</v>
      </c>
      <c r="G289" s="3250"/>
      <c r="H289" s="3250"/>
      <c r="I289" s="3250"/>
    </row>
    <row r="290" spans="1:9" x14ac:dyDescent="0.2">
      <c r="A290" s="3249">
        <v>289</v>
      </c>
      <c r="B290" s="3249">
        <v>-3</v>
      </c>
      <c r="C290" s="3487"/>
      <c r="D290" s="3249" t="s">
        <v>3533</v>
      </c>
      <c r="E290" s="3248" t="s">
        <v>3222</v>
      </c>
      <c r="F290" s="3250">
        <v>30.45</v>
      </c>
      <c r="G290" s="3250"/>
      <c r="H290" s="3250"/>
      <c r="I290" s="3250"/>
    </row>
    <row r="291" spans="1:9" x14ac:dyDescent="0.2">
      <c r="A291" s="3249">
        <v>290</v>
      </c>
      <c r="B291" s="3249">
        <v>-3</v>
      </c>
      <c r="C291" s="3487"/>
      <c r="D291" s="3249" t="s">
        <v>3534</v>
      </c>
      <c r="E291" s="3248" t="s">
        <v>3222</v>
      </c>
      <c r="F291" s="3250">
        <v>30.45</v>
      </c>
      <c r="G291" s="3250"/>
      <c r="H291" s="3250"/>
      <c r="I291" s="3250"/>
    </row>
    <row r="292" spans="1:9" x14ac:dyDescent="0.2">
      <c r="A292" s="3249">
        <v>291</v>
      </c>
      <c r="B292" s="3249">
        <v>-3</v>
      </c>
      <c r="C292" s="3487"/>
      <c r="D292" s="3249" t="s">
        <v>3535</v>
      </c>
      <c r="E292" s="3248" t="s">
        <v>3222</v>
      </c>
      <c r="F292" s="3250">
        <v>30.45</v>
      </c>
      <c r="G292" s="3250"/>
      <c r="H292" s="3250"/>
      <c r="I292" s="3250"/>
    </row>
    <row r="293" spans="1:9" x14ac:dyDescent="0.2">
      <c r="A293" s="3249">
        <v>292</v>
      </c>
      <c r="B293" s="3249">
        <v>-3</v>
      </c>
      <c r="C293" s="3487"/>
      <c r="D293" s="3249" t="s">
        <v>3536</v>
      </c>
      <c r="E293" s="3248" t="s">
        <v>3222</v>
      </c>
      <c r="F293" s="3250">
        <v>30.45</v>
      </c>
      <c r="G293" s="3250"/>
      <c r="H293" s="3250"/>
      <c r="I293" s="3250"/>
    </row>
    <row r="294" spans="1:9" x14ac:dyDescent="0.2">
      <c r="A294" s="3249">
        <v>293</v>
      </c>
      <c r="B294" s="3249">
        <v>-3</v>
      </c>
      <c r="C294" s="3487"/>
      <c r="D294" s="3249" t="s">
        <v>3537</v>
      </c>
      <c r="E294" s="3248" t="s">
        <v>3222</v>
      </c>
      <c r="F294" s="3250">
        <v>30.45</v>
      </c>
      <c r="G294" s="3250"/>
      <c r="H294" s="3250"/>
      <c r="I294" s="3250"/>
    </row>
    <row r="295" spans="1:9" x14ac:dyDescent="0.2">
      <c r="A295" s="3249">
        <v>294</v>
      </c>
      <c r="B295" s="3249">
        <v>-3</v>
      </c>
      <c r="C295" s="3487"/>
      <c r="D295" s="3249" t="s">
        <v>3538</v>
      </c>
      <c r="E295" s="3248" t="s">
        <v>3222</v>
      </c>
      <c r="F295" s="3250">
        <v>30.45</v>
      </c>
      <c r="G295" s="3250"/>
      <c r="H295" s="3250"/>
      <c r="I295" s="3250"/>
    </row>
    <row r="296" spans="1:9" x14ac:dyDescent="0.2">
      <c r="A296" s="3249">
        <v>295</v>
      </c>
      <c r="B296" s="3249">
        <v>-3</v>
      </c>
      <c r="C296" s="3487"/>
      <c r="D296" s="3249" t="s">
        <v>3539</v>
      </c>
      <c r="E296" s="3248" t="s">
        <v>3222</v>
      </c>
      <c r="F296" s="3250">
        <v>30.45</v>
      </c>
      <c r="G296" s="3250"/>
      <c r="H296" s="3250"/>
      <c r="I296" s="3250"/>
    </row>
    <row r="297" spans="1:9" x14ac:dyDescent="0.2">
      <c r="A297" s="3249">
        <v>296</v>
      </c>
      <c r="B297" s="3249">
        <v>-3</v>
      </c>
      <c r="C297" s="3487"/>
      <c r="D297" s="3249" t="s">
        <v>3540</v>
      </c>
      <c r="E297" s="3248" t="s">
        <v>3222</v>
      </c>
      <c r="F297" s="3250">
        <v>30.45</v>
      </c>
      <c r="G297" s="3250"/>
      <c r="H297" s="3250"/>
      <c r="I297" s="3250"/>
    </row>
    <row r="298" spans="1:9" x14ac:dyDescent="0.2">
      <c r="A298" s="3249">
        <v>297</v>
      </c>
      <c r="B298" s="3249">
        <v>-3</v>
      </c>
      <c r="C298" s="3487"/>
      <c r="D298" s="3249" t="s">
        <v>3541</v>
      </c>
      <c r="E298" s="3248" t="s">
        <v>3222</v>
      </c>
      <c r="F298" s="3250">
        <v>30.45</v>
      </c>
      <c r="G298" s="3250"/>
      <c r="H298" s="3250"/>
      <c r="I298" s="3250"/>
    </row>
    <row r="299" spans="1:9" x14ac:dyDescent="0.2">
      <c r="A299" s="3249">
        <v>298</v>
      </c>
      <c r="B299" s="3249">
        <v>-3</v>
      </c>
      <c r="C299" s="3487"/>
      <c r="D299" s="3249" t="s">
        <v>3542</v>
      </c>
      <c r="E299" s="3248" t="s">
        <v>3222</v>
      </c>
      <c r="F299" s="3250">
        <v>30.45</v>
      </c>
      <c r="G299" s="3250"/>
      <c r="H299" s="3250"/>
      <c r="I299" s="3250"/>
    </row>
    <row r="300" spans="1:9" x14ac:dyDescent="0.2">
      <c r="A300" s="3249">
        <v>299</v>
      </c>
      <c r="B300" s="3249">
        <v>-3</v>
      </c>
      <c r="C300" s="3487"/>
      <c r="D300" s="3249" t="s">
        <v>3543</v>
      </c>
      <c r="E300" s="3248" t="s">
        <v>3222</v>
      </c>
      <c r="F300" s="3250">
        <v>30.45</v>
      </c>
      <c r="G300" s="3250"/>
      <c r="H300" s="3250"/>
      <c r="I300" s="3250"/>
    </row>
    <row r="301" spans="1:9" x14ac:dyDescent="0.2">
      <c r="A301" s="3249">
        <v>300</v>
      </c>
      <c r="B301" s="3249">
        <v>-3</v>
      </c>
      <c r="C301" s="3487"/>
      <c r="D301" s="3249" t="s">
        <v>3544</v>
      </c>
      <c r="E301" s="3248" t="s">
        <v>3222</v>
      </c>
      <c r="F301" s="3250">
        <v>30.45</v>
      </c>
      <c r="G301" s="3250"/>
      <c r="H301" s="3250"/>
      <c r="I301" s="3250"/>
    </row>
    <row r="302" spans="1:9" x14ac:dyDescent="0.2">
      <c r="A302" s="3249">
        <v>301</v>
      </c>
      <c r="B302" s="3249">
        <v>-3</v>
      </c>
      <c r="C302" s="3487"/>
      <c r="D302" s="3249" t="s">
        <v>3545</v>
      </c>
      <c r="E302" s="3248" t="s">
        <v>3222</v>
      </c>
      <c r="F302" s="3250">
        <v>30.45</v>
      </c>
      <c r="G302" s="3250"/>
      <c r="H302" s="3250"/>
      <c r="I302" s="3250"/>
    </row>
    <row r="303" spans="1:9" x14ac:dyDescent="0.2">
      <c r="A303" s="3249">
        <v>302</v>
      </c>
      <c r="B303" s="3249">
        <v>-3</v>
      </c>
      <c r="C303" s="3487"/>
      <c r="D303" s="3249" t="s">
        <v>3546</v>
      </c>
      <c r="E303" s="3248" t="s">
        <v>3222</v>
      </c>
      <c r="F303" s="3250">
        <v>30.45</v>
      </c>
      <c r="G303" s="3250"/>
      <c r="H303" s="3250"/>
      <c r="I303" s="3250"/>
    </row>
    <row r="304" spans="1:9" x14ac:dyDescent="0.2">
      <c r="A304" s="3249">
        <v>303</v>
      </c>
      <c r="B304" s="3249">
        <v>-3</v>
      </c>
      <c r="C304" s="3487"/>
      <c r="D304" s="3249" t="s">
        <v>3547</v>
      </c>
      <c r="E304" s="3248" t="s">
        <v>3222</v>
      </c>
      <c r="F304" s="3250">
        <v>30.45</v>
      </c>
      <c r="G304" s="3250"/>
      <c r="H304" s="3250"/>
      <c r="I304" s="3250"/>
    </row>
    <row r="305" spans="1:9" x14ac:dyDescent="0.2">
      <c r="A305" s="3249">
        <v>304</v>
      </c>
      <c r="B305" s="3249">
        <v>-3</v>
      </c>
      <c r="C305" s="3487"/>
      <c r="D305" s="3249" t="s">
        <v>3548</v>
      </c>
      <c r="E305" s="3248" t="s">
        <v>3222</v>
      </c>
      <c r="F305" s="3250">
        <v>30.45</v>
      </c>
      <c r="G305" s="3250"/>
      <c r="H305" s="3250"/>
      <c r="I305" s="3250"/>
    </row>
    <row r="306" spans="1:9" x14ac:dyDescent="0.2">
      <c r="A306" s="3249">
        <v>305</v>
      </c>
      <c r="B306" s="3249">
        <v>-3</v>
      </c>
      <c r="C306" s="3487"/>
      <c r="D306" s="3249" t="s">
        <v>3549</v>
      </c>
      <c r="E306" s="3248" t="s">
        <v>3222</v>
      </c>
      <c r="F306" s="3250">
        <v>30.45</v>
      </c>
      <c r="G306" s="3250"/>
      <c r="H306" s="3250"/>
      <c r="I306" s="3250"/>
    </row>
    <row r="307" spans="1:9" x14ac:dyDescent="0.2">
      <c r="A307" s="3249">
        <v>306</v>
      </c>
      <c r="B307" s="3249">
        <v>-3</v>
      </c>
      <c r="C307" s="3487"/>
      <c r="D307" s="3249" t="s">
        <v>3550</v>
      </c>
      <c r="E307" s="3248" t="s">
        <v>3222</v>
      </c>
      <c r="F307" s="3250">
        <v>30.45</v>
      </c>
      <c r="G307" s="3250"/>
      <c r="H307" s="3250"/>
      <c r="I307" s="3250"/>
    </row>
    <row r="308" spans="1:9" x14ac:dyDescent="0.2">
      <c r="A308" s="3249">
        <v>307</v>
      </c>
      <c r="B308" s="3249">
        <v>-3</v>
      </c>
      <c r="C308" s="3487"/>
      <c r="D308" s="3249" t="s">
        <v>3551</v>
      </c>
      <c r="E308" s="3248" t="s">
        <v>3222</v>
      </c>
      <c r="F308" s="3250">
        <v>30.45</v>
      </c>
      <c r="G308" s="3250"/>
      <c r="H308" s="3250"/>
      <c r="I308" s="3250"/>
    </row>
    <row r="309" spans="1:9" x14ac:dyDescent="0.2">
      <c r="A309" s="3249">
        <v>308</v>
      </c>
      <c r="B309" s="3249">
        <v>-3</v>
      </c>
      <c r="C309" s="3487"/>
      <c r="D309" s="3249" t="s">
        <v>3552</v>
      </c>
      <c r="E309" s="3248" t="s">
        <v>3222</v>
      </c>
      <c r="F309" s="3250">
        <v>30.45</v>
      </c>
      <c r="G309" s="3250"/>
      <c r="H309" s="3250"/>
      <c r="I309" s="3250"/>
    </row>
    <row r="310" spans="1:9" x14ac:dyDescent="0.2">
      <c r="A310" s="3249">
        <v>309</v>
      </c>
      <c r="B310" s="3249">
        <v>-3</v>
      </c>
      <c r="C310" s="3487"/>
      <c r="D310" s="3249" t="s">
        <v>3553</v>
      </c>
      <c r="E310" s="3248" t="s">
        <v>3222</v>
      </c>
      <c r="F310" s="3250">
        <v>30.45</v>
      </c>
      <c r="G310" s="3250"/>
      <c r="H310" s="3250"/>
      <c r="I310" s="3250"/>
    </row>
    <row r="311" spans="1:9" x14ac:dyDescent="0.2">
      <c r="A311" s="3249">
        <v>310</v>
      </c>
      <c r="B311" s="3249">
        <v>-3</v>
      </c>
      <c r="C311" s="3487"/>
      <c r="D311" s="3249" t="s">
        <v>3554</v>
      </c>
      <c r="E311" s="3248" t="s">
        <v>3222</v>
      </c>
      <c r="F311" s="3250">
        <v>30.45</v>
      </c>
      <c r="G311" s="3250"/>
      <c r="H311" s="3250"/>
      <c r="I311" s="3250"/>
    </row>
    <row r="312" spans="1:9" x14ac:dyDescent="0.2">
      <c r="A312" s="3249">
        <v>311</v>
      </c>
      <c r="B312" s="3249">
        <v>-3</v>
      </c>
      <c r="C312" s="3487"/>
      <c r="D312" s="3249" t="s">
        <v>3555</v>
      </c>
      <c r="E312" s="3248" t="s">
        <v>3222</v>
      </c>
      <c r="F312" s="3250">
        <v>30.45</v>
      </c>
      <c r="G312" s="3250"/>
      <c r="H312" s="3250"/>
      <c r="I312" s="3250"/>
    </row>
    <row r="313" spans="1:9" x14ac:dyDescent="0.2">
      <c r="A313" s="3249">
        <v>312</v>
      </c>
      <c r="B313" s="3249">
        <v>-3</v>
      </c>
      <c r="C313" s="3487"/>
      <c r="D313" s="3249" t="s">
        <v>3556</v>
      </c>
      <c r="E313" s="3248" t="s">
        <v>3222</v>
      </c>
      <c r="F313" s="3250">
        <v>30.45</v>
      </c>
      <c r="G313" s="3250"/>
      <c r="H313" s="3250"/>
      <c r="I313" s="3250"/>
    </row>
    <row r="314" spans="1:9" x14ac:dyDescent="0.2">
      <c r="A314" s="3249">
        <v>313</v>
      </c>
      <c r="B314" s="3249">
        <v>-3</v>
      </c>
      <c r="C314" s="3487"/>
      <c r="D314" s="3249" t="s">
        <v>3557</v>
      </c>
      <c r="E314" s="3248" t="s">
        <v>3222</v>
      </c>
      <c r="F314" s="3250">
        <v>30.45</v>
      </c>
      <c r="G314" s="3250"/>
      <c r="H314" s="3250"/>
      <c r="I314" s="3250"/>
    </row>
    <row r="315" spans="1:9" x14ac:dyDescent="0.2">
      <c r="A315" s="3249">
        <v>314</v>
      </c>
      <c r="B315" s="3249">
        <v>-3</v>
      </c>
      <c r="C315" s="3487"/>
      <c r="D315" s="3249" t="s">
        <v>3558</v>
      </c>
      <c r="E315" s="3248" t="s">
        <v>3222</v>
      </c>
      <c r="F315" s="3250">
        <v>30.45</v>
      </c>
      <c r="G315" s="3250"/>
      <c r="H315" s="3250"/>
      <c r="I315" s="3250"/>
    </row>
    <row r="316" spans="1:9" x14ac:dyDescent="0.2">
      <c r="A316" s="3249">
        <v>315</v>
      </c>
      <c r="B316" s="3249">
        <v>-3</v>
      </c>
      <c r="C316" s="3487"/>
      <c r="D316" s="3249" t="s">
        <v>3559</v>
      </c>
      <c r="E316" s="3248" t="s">
        <v>3222</v>
      </c>
      <c r="F316" s="3250">
        <v>30.45</v>
      </c>
      <c r="G316" s="3250"/>
      <c r="H316" s="3250"/>
      <c r="I316" s="3250"/>
    </row>
    <row r="317" spans="1:9" x14ac:dyDescent="0.2">
      <c r="A317" s="3249">
        <v>316</v>
      </c>
      <c r="B317" s="3249">
        <v>-3</v>
      </c>
      <c r="C317" s="3487"/>
      <c r="D317" s="3249" t="s">
        <v>3560</v>
      </c>
      <c r="E317" s="3248" t="s">
        <v>3222</v>
      </c>
      <c r="F317" s="3250">
        <v>30.45</v>
      </c>
      <c r="G317" s="3250"/>
      <c r="H317" s="3250"/>
      <c r="I317" s="3250"/>
    </row>
    <row r="318" spans="1:9" x14ac:dyDescent="0.2">
      <c r="A318" s="3249">
        <v>317</v>
      </c>
      <c r="B318" s="3249">
        <v>-3</v>
      </c>
      <c r="C318" s="3487"/>
      <c r="D318" s="3249" t="s">
        <v>3561</v>
      </c>
      <c r="E318" s="3248" t="s">
        <v>3222</v>
      </c>
      <c r="F318" s="3250">
        <v>30.45</v>
      </c>
      <c r="G318" s="3250"/>
      <c r="H318" s="3250"/>
      <c r="I318" s="3250"/>
    </row>
    <row r="319" spans="1:9" x14ac:dyDescent="0.2">
      <c r="A319" s="3249">
        <v>318</v>
      </c>
      <c r="B319" s="3249">
        <v>-3</v>
      </c>
      <c r="C319" s="3487"/>
      <c r="D319" s="3249" t="s">
        <v>3562</v>
      </c>
      <c r="E319" s="3248" t="s">
        <v>3222</v>
      </c>
      <c r="F319" s="3250">
        <v>30.45</v>
      </c>
      <c r="G319" s="3250"/>
      <c r="H319" s="3250"/>
      <c r="I319" s="3250"/>
    </row>
    <row r="320" spans="1:9" x14ac:dyDescent="0.2">
      <c r="A320" s="3249">
        <v>319</v>
      </c>
      <c r="B320" s="3249">
        <v>-3</v>
      </c>
      <c r="C320" s="3487"/>
      <c r="D320" s="3249" t="s">
        <v>3563</v>
      </c>
      <c r="E320" s="3248" t="s">
        <v>3222</v>
      </c>
      <c r="F320" s="3250">
        <v>30.45</v>
      </c>
      <c r="G320" s="3250"/>
      <c r="H320" s="3250"/>
      <c r="I320" s="3250"/>
    </row>
    <row r="321" spans="1:9" x14ac:dyDescent="0.2">
      <c r="A321" s="3249">
        <v>320</v>
      </c>
      <c r="B321" s="3249">
        <v>-3</v>
      </c>
      <c r="C321" s="3487"/>
      <c r="D321" s="3249" t="s">
        <v>3564</v>
      </c>
      <c r="E321" s="3248" t="s">
        <v>3222</v>
      </c>
      <c r="F321" s="3250">
        <v>30.45</v>
      </c>
      <c r="G321" s="3250"/>
      <c r="H321" s="3250"/>
      <c r="I321" s="3250"/>
    </row>
    <row r="322" spans="1:9" x14ac:dyDescent="0.2">
      <c r="A322" s="3249">
        <v>321</v>
      </c>
      <c r="B322" s="3249">
        <v>-3</v>
      </c>
      <c r="C322" s="3487"/>
      <c r="D322" s="3249" t="s">
        <v>3565</v>
      </c>
      <c r="E322" s="3248" t="s">
        <v>3222</v>
      </c>
      <c r="F322" s="3250">
        <v>30.45</v>
      </c>
      <c r="G322" s="3250"/>
      <c r="H322" s="3250"/>
      <c r="I322" s="3250"/>
    </row>
    <row r="323" spans="1:9" x14ac:dyDescent="0.2">
      <c r="A323" s="3249">
        <v>322</v>
      </c>
      <c r="B323" s="3249">
        <v>-3</v>
      </c>
      <c r="C323" s="3487"/>
      <c r="D323" s="3249" t="s">
        <v>3566</v>
      </c>
      <c r="E323" s="3248" t="s">
        <v>3222</v>
      </c>
      <c r="F323" s="3250">
        <v>30.45</v>
      </c>
      <c r="G323" s="3250"/>
      <c r="H323" s="3250"/>
      <c r="I323" s="3250"/>
    </row>
    <row r="324" spans="1:9" x14ac:dyDescent="0.2">
      <c r="A324" s="3249">
        <v>323</v>
      </c>
      <c r="B324" s="3249">
        <v>-3</v>
      </c>
      <c r="C324" s="3487"/>
      <c r="D324" s="3249" t="s">
        <v>3567</v>
      </c>
      <c r="E324" s="3248" t="s">
        <v>3222</v>
      </c>
      <c r="F324" s="3250">
        <v>30.45</v>
      </c>
      <c r="G324" s="3250"/>
      <c r="H324" s="3250"/>
      <c r="I324" s="3250"/>
    </row>
    <row r="325" spans="1:9" x14ac:dyDescent="0.2">
      <c r="A325" s="3249">
        <v>324</v>
      </c>
      <c r="B325" s="3249">
        <v>-3</v>
      </c>
      <c r="C325" s="3487"/>
      <c r="D325" s="3249" t="s">
        <v>3568</v>
      </c>
      <c r="E325" s="3248" t="s">
        <v>3222</v>
      </c>
      <c r="F325" s="3250">
        <v>30.45</v>
      </c>
      <c r="G325" s="3250"/>
      <c r="H325" s="3250"/>
      <c r="I325" s="3250"/>
    </row>
    <row r="326" spans="1:9" x14ac:dyDescent="0.2">
      <c r="A326" s="3249">
        <v>325</v>
      </c>
      <c r="B326" s="3249">
        <v>-3</v>
      </c>
      <c r="C326" s="3487"/>
      <c r="D326" s="3249" t="s">
        <v>3569</v>
      </c>
      <c r="E326" s="3248" t="s">
        <v>3222</v>
      </c>
      <c r="F326" s="3250">
        <v>30.45</v>
      </c>
      <c r="G326" s="3250"/>
      <c r="H326" s="3250"/>
      <c r="I326" s="3250"/>
    </row>
    <row r="327" spans="1:9" x14ac:dyDescent="0.2">
      <c r="A327" s="3249">
        <v>326</v>
      </c>
      <c r="B327" s="3249">
        <v>-3</v>
      </c>
      <c r="C327" s="3487"/>
      <c r="D327" s="3249" t="s">
        <v>3570</v>
      </c>
      <c r="E327" s="3248" t="s">
        <v>3222</v>
      </c>
      <c r="F327" s="3250">
        <v>30.45</v>
      </c>
      <c r="G327" s="3250"/>
      <c r="H327" s="3250"/>
      <c r="I327" s="3250"/>
    </row>
    <row r="328" spans="1:9" x14ac:dyDescent="0.2">
      <c r="A328" s="3249">
        <v>327</v>
      </c>
      <c r="B328" s="3249">
        <v>-3</v>
      </c>
      <c r="C328" s="3487"/>
      <c r="D328" s="3249" t="s">
        <v>3571</v>
      </c>
      <c r="E328" s="3248" t="s">
        <v>3222</v>
      </c>
      <c r="F328" s="3250">
        <v>30.45</v>
      </c>
      <c r="G328" s="3250"/>
      <c r="H328" s="3250"/>
      <c r="I328" s="3250"/>
    </row>
    <row r="329" spans="1:9" x14ac:dyDescent="0.2">
      <c r="A329" s="3249">
        <v>328</v>
      </c>
      <c r="B329" s="3249">
        <v>-3</v>
      </c>
      <c r="C329" s="3487"/>
      <c r="D329" s="3249" t="s">
        <v>3572</v>
      </c>
      <c r="E329" s="3248" t="s">
        <v>3222</v>
      </c>
      <c r="F329" s="3250">
        <v>30.45</v>
      </c>
      <c r="G329" s="3250"/>
      <c r="H329" s="3250"/>
      <c r="I329" s="3250"/>
    </row>
    <row r="330" spans="1:9" x14ac:dyDescent="0.2">
      <c r="A330" s="3249">
        <v>329</v>
      </c>
      <c r="B330" s="3249">
        <v>-3</v>
      </c>
      <c r="C330" s="3487"/>
      <c r="D330" s="3249" t="s">
        <v>3573</v>
      </c>
      <c r="E330" s="3248" t="s">
        <v>3222</v>
      </c>
      <c r="F330" s="3250">
        <v>30.45</v>
      </c>
      <c r="G330" s="3250"/>
      <c r="H330" s="3250"/>
      <c r="I330" s="3250"/>
    </row>
    <row r="331" spans="1:9" x14ac:dyDescent="0.2">
      <c r="A331" s="3249">
        <v>330</v>
      </c>
      <c r="B331" s="3249">
        <v>-3</v>
      </c>
      <c r="C331" s="3487"/>
      <c r="D331" s="3249" t="s">
        <v>3574</v>
      </c>
      <c r="E331" s="3248" t="s">
        <v>3222</v>
      </c>
      <c r="F331" s="3250">
        <v>30.45</v>
      </c>
      <c r="G331" s="3250"/>
      <c r="H331" s="3250"/>
      <c r="I331" s="3250"/>
    </row>
    <row r="332" spans="1:9" x14ac:dyDescent="0.2">
      <c r="A332" s="3249">
        <v>331</v>
      </c>
      <c r="B332" s="3249">
        <v>-3</v>
      </c>
      <c r="C332" s="3487"/>
      <c r="D332" s="3249" t="s">
        <v>3575</v>
      </c>
      <c r="E332" s="3248" t="s">
        <v>3222</v>
      </c>
      <c r="F332" s="3250">
        <v>30.45</v>
      </c>
      <c r="G332" s="3250"/>
      <c r="H332" s="3250"/>
      <c r="I332" s="3250"/>
    </row>
    <row r="333" spans="1:9" x14ac:dyDescent="0.2">
      <c r="A333" s="3249">
        <v>332</v>
      </c>
      <c r="B333" s="3249">
        <v>-3</v>
      </c>
      <c r="C333" s="3487"/>
      <c r="D333" s="3249" t="s">
        <v>3576</v>
      </c>
      <c r="E333" s="3248" t="s">
        <v>3222</v>
      </c>
      <c r="F333" s="3250">
        <v>30.45</v>
      </c>
      <c r="G333" s="3250"/>
      <c r="H333" s="3250"/>
      <c r="I333" s="3250"/>
    </row>
    <row r="334" spans="1:9" x14ac:dyDescent="0.2">
      <c r="A334" s="3248" t="s">
        <v>4446</v>
      </c>
      <c r="F334" s="3250">
        <f>SUM(F2:F333)</f>
        <v>10132.520000000013</v>
      </c>
      <c r="G334" s="3250"/>
      <c r="H334" s="3250"/>
      <c r="I334" s="3250"/>
    </row>
  </sheetData>
  <mergeCells count="1">
    <mergeCell ref="C2:C333"/>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K87"/>
  <sheetViews>
    <sheetView workbookViewId="0">
      <selection activeCell="I18" sqref="I18"/>
    </sheetView>
  </sheetViews>
  <sheetFormatPr baseColWidth="10" defaultColWidth="8.83203125" defaultRowHeight="15" x14ac:dyDescent="0.2"/>
  <cols>
    <col min="1" max="1" width="6.5" style="3232" customWidth="1"/>
    <col min="2" max="2" width="6" style="3232" customWidth="1"/>
    <col min="3" max="3" width="9.1640625" style="3232" customWidth="1"/>
    <col min="4" max="4" width="8.83203125" style="3232"/>
    <col min="5" max="5" width="13.6640625" style="3232" customWidth="1"/>
    <col min="6" max="6" width="8.83203125" style="3232"/>
    <col min="7" max="7" width="9.1640625" style="3232" customWidth="1"/>
    <col min="8" max="16384" width="8.83203125" style="3232"/>
  </cols>
  <sheetData>
    <row r="1" spans="1:11" x14ac:dyDescent="0.2">
      <c r="A1" s="3231" t="s">
        <v>3176</v>
      </c>
      <c r="B1" s="3231" t="s">
        <v>3183</v>
      </c>
      <c r="C1" s="3231" t="s">
        <v>3223</v>
      </c>
      <c r="D1" s="3231" t="s">
        <v>3178</v>
      </c>
      <c r="E1" s="3231" t="s">
        <v>3210</v>
      </c>
      <c r="F1" s="3231" t="s">
        <v>3211</v>
      </c>
      <c r="I1" s="3231" t="s">
        <v>3179</v>
      </c>
      <c r="J1" s="3231" t="s">
        <v>4447</v>
      </c>
      <c r="K1" s="3231" t="s">
        <v>4448</v>
      </c>
    </row>
    <row r="2" spans="1:11" x14ac:dyDescent="0.2">
      <c r="A2" s="3232">
        <v>1</v>
      </c>
      <c r="B2" s="3232" t="s">
        <v>3662</v>
      </c>
      <c r="C2" s="3231" t="s">
        <v>3666</v>
      </c>
      <c r="D2" s="3234" t="s">
        <v>3577</v>
      </c>
      <c r="E2" s="3232" t="s">
        <v>3221</v>
      </c>
      <c r="F2" s="3232">
        <v>53.1</v>
      </c>
      <c r="I2" s="3231" t="s">
        <v>3222</v>
      </c>
      <c r="J2" s="3232">
        <v>-2</v>
      </c>
      <c r="K2" s="3232">
        <f>SUM(F2:F47)</f>
        <v>2442.5999999999981</v>
      </c>
    </row>
    <row r="3" spans="1:11" x14ac:dyDescent="0.2">
      <c r="A3" s="3232">
        <v>2</v>
      </c>
      <c r="B3" s="3232" t="s">
        <v>3662</v>
      </c>
      <c r="D3" s="3234" t="s">
        <v>3578</v>
      </c>
      <c r="E3" s="3232" t="s">
        <v>3221</v>
      </c>
      <c r="F3" s="3232">
        <v>53.1</v>
      </c>
      <c r="I3" s="3231" t="s">
        <v>3225</v>
      </c>
      <c r="J3" s="3232">
        <v>1</v>
      </c>
      <c r="K3" s="3232">
        <f>SUM(F48:F86)-K4-K5</f>
        <v>2881.9600000000037</v>
      </c>
    </row>
    <row r="4" spans="1:11" x14ac:dyDescent="0.2">
      <c r="A4" s="3232">
        <v>3</v>
      </c>
      <c r="B4" s="3232" t="s">
        <v>3662</v>
      </c>
      <c r="D4" s="3234" t="s">
        <v>3579</v>
      </c>
      <c r="E4" s="3232" t="s">
        <v>3221</v>
      </c>
      <c r="F4" s="3232">
        <v>53.1</v>
      </c>
      <c r="J4" s="3233" t="s">
        <v>3184</v>
      </c>
      <c r="K4" s="3232">
        <f>F55+F71+F81</f>
        <v>4546.8099999999995</v>
      </c>
    </row>
    <row r="5" spans="1:11" x14ac:dyDescent="0.2">
      <c r="A5" s="3232">
        <v>4</v>
      </c>
      <c r="B5" s="3232" t="s">
        <v>3662</v>
      </c>
      <c r="D5" s="3234" t="s">
        <v>3580</v>
      </c>
      <c r="E5" s="3232" t="s">
        <v>3221</v>
      </c>
      <c r="F5" s="3232">
        <v>53.1</v>
      </c>
      <c r="J5" s="3232">
        <v>-1</v>
      </c>
      <c r="K5" s="3232">
        <f>F64</f>
        <v>3840.45</v>
      </c>
    </row>
    <row r="6" spans="1:11" x14ac:dyDescent="0.2">
      <c r="A6" s="3232">
        <v>5</v>
      </c>
      <c r="B6" s="3232" t="s">
        <v>3662</v>
      </c>
      <c r="D6" s="3234" t="s">
        <v>3581</v>
      </c>
      <c r="E6" s="3232" t="s">
        <v>3221</v>
      </c>
      <c r="F6" s="3232">
        <v>53.1</v>
      </c>
      <c r="K6" s="3232">
        <f>SUM(K2:K5)</f>
        <v>13711.82</v>
      </c>
    </row>
    <row r="7" spans="1:11" x14ac:dyDescent="0.2">
      <c r="A7" s="3232">
        <v>6</v>
      </c>
      <c r="B7" s="3232" t="s">
        <v>3662</v>
      </c>
      <c r="D7" s="3234" t="s">
        <v>3582</v>
      </c>
      <c r="E7" s="3232" t="s">
        <v>3221</v>
      </c>
      <c r="F7" s="3232">
        <v>53.1</v>
      </c>
    </row>
    <row r="8" spans="1:11" x14ac:dyDescent="0.2">
      <c r="A8" s="3232">
        <v>7</v>
      </c>
      <c r="B8" s="3232" t="s">
        <v>3662</v>
      </c>
      <c r="D8" s="3234" t="s">
        <v>3583</v>
      </c>
      <c r="E8" s="3232" t="s">
        <v>3221</v>
      </c>
      <c r="F8" s="3232">
        <v>53.1</v>
      </c>
    </row>
    <row r="9" spans="1:11" x14ac:dyDescent="0.2">
      <c r="A9" s="3232">
        <v>8</v>
      </c>
      <c r="B9" s="3232" t="s">
        <v>3662</v>
      </c>
      <c r="D9" s="3234" t="s">
        <v>3584</v>
      </c>
      <c r="E9" s="3232" t="s">
        <v>3221</v>
      </c>
      <c r="F9" s="3232">
        <v>53.1</v>
      </c>
    </row>
    <row r="10" spans="1:11" x14ac:dyDescent="0.2">
      <c r="A10" s="3232">
        <v>9</v>
      </c>
      <c r="B10" s="3232" t="s">
        <v>3662</v>
      </c>
      <c r="D10" s="3234" t="s">
        <v>3585</v>
      </c>
      <c r="E10" s="3232" t="s">
        <v>3221</v>
      </c>
      <c r="F10" s="3232">
        <v>53.1</v>
      </c>
    </row>
    <row r="11" spans="1:11" x14ac:dyDescent="0.2">
      <c r="A11" s="3232">
        <v>10</v>
      </c>
      <c r="B11" s="3232" t="s">
        <v>3662</v>
      </c>
      <c r="D11" s="3234" t="s">
        <v>3586</v>
      </c>
      <c r="E11" s="3232" t="s">
        <v>3221</v>
      </c>
      <c r="F11" s="3232">
        <v>53.1</v>
      </c>
    </row>
    <row r="12" spans="1:11" x14ac:dyDescent="0.2">
      <c r="A12" s="3232">
        <v>11</v>
      </c>
      <c r="B12" s="3232" t="s">
        <v>3662</v>
      </c>
      <c r="D12" s="3234" t="s">
        <v>3587</v>
      </c>
      <c r="E12" s="3232" t="s">
        <v>3221</v>
      </c>
      <c r="F12" s="3232">
        <v>53.1</v>
      </c>
    </row>
    <row r="13" spans="1:11" x14ac:dyDescent="0.2">
      <c r="A13" s="3232">
        <v>12</v>
      </c>
      <c r="B13" s="3232" t="s">
        <v>3662</v>
      </c>
      <c r="D13" s="3234" t="s">
        <v>3588</v>
      </c>
      <c r="E13" s="3232" t="s">
        <v>3221</v>
      </c>
      <c r="F13" s="3232">
        <v>53.1</v>
      </c>
    </row>
    <row r="14" spans="1:11" x14ac:dyDescent="0.2">
      <c r="A14" s="3232">
        <v>13</v>
      </c>
      <c r="B14" s="3232" t="s">
        <v>3662</v>
      </c>
      <c r="D14" s="3234" t="s">
        <v>3589</v>
      </c>
      <c r="E14" s="3232" t="s">
        <v>3221</v>
      </c>
      <c r="F14" s="3232">
        <v>53.1</v>
      </c>
    </row>
    <row r="15" spans="1:11" x14ac:dyDescent="0.2">
      <c r="A15" s="3232">
        <v>14</v>
      </c>
      <c r="B15" s="3232" t="s">
        <v>3662</v>
      </c>
      <c r="D15" s="3234" t="s">
        <v>3590</v>
      </c>
      <c r="E15" s="3232" t="s">
        <v>3221</v>
      </c>
      <c r="F15" s="3232">
        <v>53.1</v>
      </c>
    </row>
    <row r="16" spans="1:11" x14ac:dyDescent="0.2">
      <c r="A16" s="3232">
        <v>15</v>
      </c>
      <c r="B16" s="3232" t="s">
        <v>3662</v>
      </c>
      <c r="D16" s="3234" t="s">
        <v>3591</v>
      </c>
      <c r="E16" s="3232" t="s">
        <v>3221</v>
      </c>
      <c r="F16" s="3232">
        <v>53.1</v>
      </c>
    </row>
    <row r="17" spans="1:6" x14ac:dyDescent="0.2">
      <c r="A17" s="3232">
        <v>16</v>
      </c>
      <c r="B17" s="3232" t="s">
        <v>3662</v>
      </c>
      <c r="D17" s="3234" t="s">
        <v>3592</v>
      </c>
      <c r="E17" s="3232" t="s">
        <v>3221</v>
      </c>
      <c r="F17" s="3232">
        <v>53.1</v>
      </c>
    </row>
    <row r="18" spans="1:6" x14ac:dyDescent="0.2">
      <c r="A18" s="3232">
        <v>17</v>
      </c>
      <c r="B18" s="3232" t="s">
        <v>3662</v>
      </c>
      <c r="D18" s="3234" t="s">
        <v>3593</v>
      </c>
      <c r="E18" s="3232" t="s">
        <v>3221</v>
      </c>
      <c r="F18" s="3232">
        <v>53.1</v>
      </c>
    </row>
    <row r="19" spans="1:6" x14ac:dyDescent="0.2">
      <c r="A19" s="3232">
        <v>18</v>
      </c>
      <c r="B19" s="3232" t="s">
        <v>3662</v>
      </c>
      <c r="D19" s="3234" t="s">
        <v>3594</v>
      </c>
      <c r="E19" s="3232" t="s">
        <v>3221</v>
      </c>
      <c r="F19" s="3232">
        <v>53.1</v>
      </c>
    </row>
    <row r="20" spans="1:6" x14ac:dyDescent="0.2">
      <c r="A20" s="3232">
        <v>19</v>
      </c>
      <c r="B20" s="3232" t="s">
        <v>3662</v>
      </c>
      <c r="D20" s="3234" t="s">
        <v>3595</v>
      </c>
      <c r="E20" s="3232" t="s">
        <v>3221</v>
      </c>
      <c r="F20" s="3232">
        <v>53.1</v>
      </c>
    </row>
    <row r="21" spans="1:6" x14ac:dyDescent="0.2">
      <c r="A21" s="3232">
        <v>20</v>
      </c>
      <c r="B21" s="3232" t="s">
        <v>3662</v>
      </c>
      <c r="D21" s="3234" t="s">
        <v>3596</v>
      </c>
      <c r="E21" s="3232" t="s">
        <v>3221</v>
      </c>
      <c r="F21" s="3232">
        <v>53.1</v>
      </c>
    </row>
    <row r="22" spans="1:6" x14ac:dyDescent="0.2">
      <c r="A22" s="3232">
        <v>21</v>
      </c>
      <c r="B22" s="3232" t="s">
        <v>3662</v>
      </c>
      <c r="D22" s="3234" t="s">
        <v>3597</v>
      </c>
      <c r="E22" s="3232" t="s">
        <v>3221</v>
      </c>
      <c r="F22" s="3232">
        <v>53.1</v>
      </c>
    </row>
    <row r="23" spans="1:6" x14ac:dyDescent="0.2">
      <c r="A23" s="3232">
        <v>22</v>
      </c>
      <c r="B23" s="3232" t="s">
        <v>3662</v>
      </c>
      <c r="D23" s="3234" t="s">
        <v>3598</v>
      </c>
      <c r="E23" s="3232" t="s">
        <v>3221</v>
      </c>
      <c r="F23" s="3232">
        <v>53.1</v>
      </c>
    </row>
    <row r="24" spans="1:6" x14ac:dyDescent="0.2">
      <c r="A24" s="3232">
        <v>23</v>
      </c>
      <c r="B24" s="3232" t="s">
        <v>3662</v>
      </c>
      <c r="D24" s="3234" t="s">
        <v>3599</v>
      </c>
      <c r="E24" s="3232" t="s">
        <v>3221</v>
      </c>
      <c r="F24" s="3232">
        <v>53.1</v>
      </c>
    </row>
    <row r="25" spans="1:6" x14ac:dyDescent="0.2">
      <c r="A25" s="3232">
        <v>24</v>
      </c>
      <c r="B25" s="3232" t="s">
        <v>3662</v>
      </c>
      <c r="D25" s="3234" t="s">
        <v>3600</v>
      </c>
      <c r="E25" s="3232" t="s">
        <v>3221</v>
      </c>
      <c r="F25" s="3232">
        <v>53.1</v>
      </c>
    </row>
    <row r="26" spans="1:6" x14ac:dyDescent="0.2">
      <c r="A26" s="3232">
        <v>25</v>
      </c>
      <c r="B26" s="3232" t="s">
        <v>3662</v>
      </c>
      <c r="D26" s="3234" t="s">
        <v>3601</v>
      </c>
      <c r="E26" s="3232" t="s">
        <v>3221</v>
      </c>
      <c r="F26" s="3232">
        <v>53.1</v>
      </c>
    </row>
    <row r="27" spans="1:6" x14ac:dyDescent="0.2">
      <c r="A27" s="3232">
        <v>26</v>
      </c>
      <c r="B27" s="3232" t="s">
        <v>3662</v>
      </c>
      <c r="D27" s="3234" t="s">
        <v>3602</v>
      </c>
      <c r="E27" s="3232" t="s">
        <v>3221</v>
      </c>
      <c r="F27" s="3232">
        <v>53.1</v>
      </c>
    </row>
    <row r="28" spans="1:6" x14ac:dyDescent="0.2">
      <c r="A28" s="3232">
        <v>27</v>
      </c>
      <c r="B28" s="3232" t="s">
        <v>3662</v>
      </c>
      <c r="D28" s="3234" t="s">
        <v>3603</v>
      </c>
      <c r="E28" s="3232" t="s">
        <v>3221</v>
      </c>
      <c r="F28" s="3232">
        <v>53.1</v>
      </c>
    </row>
    <row r="29" spans="1:6" x14ac:dyDescent="0.2">
      <c r="A29" s="3232">
        <v>28</v>
      </c>
      <c r="B29" s="3232" t="s">
        <v>3662</v>
      </c>
      <c r="D29" s="3234" t="s">
        <v>3604</v>
      </c>
      <c r="E29" s="3232" t="s">
        <v>3221</v>
      </c>
      <c r="F29" s="3232">
        <v>53.1</v>
      </c>
    </row>
    <row r="30" spans="1:6" x14ac:dyDescent="0.2">
      <c r="A30" s="3232">
        <v>29</v>
      </c>
      <c r="B30" s="3232" t="s">
        <v>3662</v>
      </c>
      <c r="D30" s="3234" t="s">
        <v>3605</v>
      </c>
      <c r="E30" s="3232" t="s">
        <v>3221</v>
      </c>
      <c r="F30" s="3232">
        <v>53.1</v>
      </c>
    </row>
    <row r="31" spans="1:6" x14ac:dyDescent="0.2">
      <c r="A31" s="3232">
        <v>30</v>
      </c>
      <c r="B31" s="3232" t="s">
        <v>3662</v>
      </c>
      <c r="D31" s="3234" t="s">
        <v>3606</v>
      </c>
      <c r="E31" s="3232" t="s">
        <v>3221</v>
      </c>
      <c r="F31" s="3232">
        <v>53.1</v>
      </c>
    </row>
    <row r="32" spans="1:6" x14ac:dyDescent="0.2">
      <c r="A32" s="3232">
        <v>31</v>
      </c>
      <c r="B32" s="3232" t="s">
        <v>3662</v>
      </c>
      <c r="D32" s="3234" t="s">
        <v>3607</v>
      </c>
      <c r="E32" s="3232" t="s">
        <v>3221</v>
      </c>
      <c r="F32" s="3232">
        <v>53.1</v>
      </c>
    </row>
    <row r="33" spans="1:6" x14ac:dyDescent="0.2">
      <c r="A33" s="3232">
        <v>32</v>
      </c>
      <c r="B33" s="3232" t="s">
        <v>3662</v>
      </c>
      <c r="D33" s="3234" t="s">
        <v>3608</v>
      </c>
      <c r="E33" s="3232" t="s">
        <v>3221</v>
      </c>
      <c r="F33" s="3232">
        <v>53.1</v>
      </c>
    </row>
    <row r="34" spans="1:6" x14ac:dyDescent="0.2">
      <c r="A34" s="3232">
        <v>33</v>
      </c>
      <c r="B34" s="3232" t="s">
        <v>3662</v>
      </c>
      <c r="D34" s="3234" t="s">
        <v>3609</v>
      </c>
      <c r="E34" s="3232" t="s">
        <v>3221</v>
      </c>
      <c r="F34" s="3232">
        <v>53.1</v>
      </c>
    </row>
    <row r="35" spans="1:6" x14ac:dyDescent="0.2">
      <c r="A35" s="3232">
        <v>34</v>
      </c>
      <c r="B35" s="3232" t="s">
        <v>3662</v>
      </c>
      <c r="D35" s="3234" t="s">
        <v>3610</v>
      </c>
      <c r="E35" s="3232" t="s">
        <v>3221</v>
      </c>
      <c r="F35" s="3232">
        <v>53.1</v>
      </c>
    </row>
    <row r="36" spans="1:6" x14ac:dyDescent="0.2">
      <c r="A36" s="3232">
        <v>35</v>
      </c>
      <c r="B36" s="3232" t="s">
        <v>3662</v>
      </c>
      <c r="D36" s="3234" t="s">
        <v>3611</v>
      </c>
      <c r="E36" s="3232" t="s">
        <v>3221</v>
      </c>
      <c r="F36" s="3232">
        <v>53.1</v>
      </c>
    </row>
    <row r="37" spans="1:6" x14ac:dyDescent="0.2">
      <c r="A37" s="3232">
        <v>36</v>
      </c>
      <c r="B37" s="3232" t="s">
        <v>3662</v>
      </c>
      <c r="D37" s="3234" t="s">
        <v>3612</v>
      </c>
      <c r="E37" s="3232" t="s">
        <v>3221</v>
      </c>
      <c r="F37" s="3232">
        <v>53.1</v>
      </c>
    </row>
    <row r="38" spans="1:6" x14ac:dyDescent="0.2">
      <c r="A38" s="3232">
        <v>37</v>
      </c>
      <c r="B38" s="3232" t="s">
        <v>3662</v>
      </c>
      <c r="D38" s="3234" t="s">
        <v>3613</v>
      </c>
      <c r="E38" s="3232" t="s">
        <v>3221</v>
      </c>
      <c r="F38" s="3232">
        <v>53.1</v>
      </c>
    </row>
    <row r="39" spans="1:6" x14ac:dyDescent="0.2">
      <c r="A39" s="3232">
        <v>38</v>
      </c>
      <c r="B39" s="3232" t="s">
        <v>3662</v>
      </c>
      <c r="D39" s="3234" t="s">
        <v>3614</v>
      </c>
      <c r="E39" s="3232" t="s">
        <v>3221</v>
      </c>
      <c r="F39" s="3232">
        <v>53.1</v>
      </c>
    </row>
    <row r="40" spans="1:6" x14ac:dyDescent="0.2">
      <c r="A40" s="3232">
        <v>39</v>
      </c>
      <c r="B40" s="3232" t="s">
        <v>3662</v>
      </c>
      <c r="D40" s="3234" t="s">
        <v>3615</v>
      </c>
      <c r="E40" s="3232" t="s">
        <v>3221</v>
      </c>
      <c r="F40" s="3232">
        <v>53.1</v>
      </c>
    </row>
    <row r="41" spans="1:6" x14ac:dyDescent="0.2">
      <c r="A41" s="3232">
        <v>40</v>
      </c>
      <c r="B41" s="3232" t="s">
        <v>3662</v>
      </c>
      <c r="D41" s="3234" t="s">
        <v>3616</v>
      </c>
      <c r="E41" s="3232" t="s">
        <v>3221</v>
      </c>
      <c r="F41" s="3232">
        <v>53.1</v>
      </c>
    </row>
    <row r="42" spans="1:6" x14ac:dyDescent="0.2">
      <c r="A42" s="3232">
        <v>41</v>
      </c>
      <c r="B42" s="3232" t="s">
        <v>3662</v>
      </c>
      <c r="D42" s="3234" t="s">
        <v>3617</v>
      </c>
      <c r="E42" s="3232" t="s">
        <v>3221</v>
      </c>
      <c r="F42" s="3232">
        <v>53.1</v>
      </c>
    </row>
    <row r="43" spans="1:6" x14ac:dyDescent="0.2">
      <c r="A43" s="3232">
        <v>42</v>
      </c>
      <c r="B43" s="3232" t="s">
        <v>3662</v>
      </c>
      <c r="D43" s="3234" t="s">
        <v>3618</v>
      </c>
      <c r="E43" s="3232" t="s">
        <v>3221</v>
      </c>
      <c r="F43" s="3232">
        <v>53.1</v>
      </c>
    </row>
    <row r="44" spans="1:6" x14ac:dyDescent="0.2">
      <c r="A44" s="3232">
        <v>43</v>
      </c>
      <c r="B44" s="3232" t="s">
        <v>3662</v>
      </c>
      <c r="D44" s="3234" t="s">
        <v>3619</v>
      </c>
      <c r="E44" s="3232" t="s">
        <v>3221</v>
      </c>
      <c r="F44" s="3232">
        <v>53.1</v>
      </c>
    </row>
    <row r="45" spans="1:6" x14ac:dyDescent="0.2">
      <c r="A45" s="3232">
        <v>44</v>
      </c>
      <c r="B45" s="3232" t="s">
        <v>3662</v>
      </c>
      <c r="D45" s="3234" t="s">
        <v>3620</v>
      </c>
      <c r="E45" s="3232" t="s">
        <v>3221</v>
      </c>
      <c r="F45" s="3232">
        <v>53.1</v>
      </c>
    </row>
    <row r="46" spans="1:6" x14ac:dyDescent="0.2">
      <c r="A46" s="3232">
        <v>45</v>
      </c>
      <c r="B46" s="3232" t="s">
        <v>3662</v>
      </c>
      <c r="D46" s="3234" t="s">
        <v>3621</v>
      </c>
      <c r="E46" s="3232" t="s">
        <v>3221</v>
      </c>
      <c r="F46" s="3232">
        <v>53.1</v>
      </c>
    </row>
    <row r="47" spans="1:6" x14ac:dyDescent="0.2">
      <c r="A47" s="3232">
        <v>46</v>
      </c>
      <c r="B47" s="3232" t="s">
        <v>3662</v>
      </c>
      <c r="D47" s="3234" t="s">
        <v>3622</v>
      </c>
      <c r="E47" s="3232" t="s">
        <v>3221</v>
      </c>
      <c r="F47" s="3232">
        <v>53.1</v>
      </c>
    </row>
    <row r="48" spans="1:6" x14ac:dyDescent="0.2">
      <c r="A48" s="3232">
        <v>47</v>
      </c>
      <c r="B48" s="3232" t="s">
        <v>3663</v>
      </c>
      <c r="D48" s="3234" t="s">
        <v>3623</v>
      </c>
      <c r="E48" s="3231" t="s">
        <v>3225</v>
      </c>
      <c r="F48" s="3232">
        <v>59.26</v>
      </c>
    </row>
    <row r="49" spans="1:6" x14ac:dyDescent="0.2">
      <c r="A49" s="3232">
        <v>48</v>
      </c>
      <c r="B49" s="3232" t="s">
        <v>3663</v>
      </c>
      <c r="D49" s="3234" t="s">
        <v>3624</v>
      </c>
      <c r="E49" s="3232" t="s">
        <v>3224</v>
      </c>
      <c r="F49" s="3232">
        <v>132.02000000000001</v>
      </c>
    </row>
    <row r="50" spans="1:6" x14ac:dyDescent="0.2">
      <c r="A50" s="3232">
        <v>49</v>
      </c>
      <c r="B50" s="3232" t="s">
        <v>3663</v>
      </c>
      <c r="D50" s="3234" t="s">
        <v>3625</v>
      </c>
      <c r="E50" s="3232" t="s">
        <v>3224</v>
      </c>
      <c r="F50" s="3232">
        <v>44.26</v>
      </c>
    </row>
    <row r="51" spans="1:6" x14ac:dyDescent="0.2">
      <c r="A51" s="3232">
        <v>50</v>
      </c>
      <c r="B51" s="3232" t="s">
        <v>3663</v>
      </c>
      <c r="D51" s="3234" t="s">
        <v>3626</v>
      </c>
      <c r="E51" s="3232" t="s">
        <v>3224</v>
      </c>
      <c r="F51" s="3232">
        <v>46.9</v>
      </c>
    </row>
    <row r="52" spans="1:6" x14ac:dyDescent="0.2">
      <c r="A52" s="3232">
        <v>51</v>
      </c>
      <c r="B52" s="3232" t="s">
        <v>3663</v>
      </c>
      <c r="D52" s="3234" t="s">
        <v>3627</v>
      </c>
      <c r="E52" s="3232" t="s">
        <v>3224</v>
      </c>
      <c r="F52" s="3232">
        <v>45.15</v>
      </c>
    </row>
    <row r="53" spans="1:6" x14ac:dyDescent="0.2">
      <c r="A53" s="3232">
        <v>52</v>
      </c>
      <c r="B53" s="3232" t="s">
        <v>3663</v>
      </c>
      <c r="D53" s="3234" t="s">
        <v>3628</v>
      </c>
      <c r="E53" s="3232" t="s">
        <v>3224</v>
      </c>
      <c r="F53" s="3232">
        <v>120.17</v>
      </c>
    </row>
    <row r="54" spans="1:6" x14ac:dyDescent="0.2">
      <c r="A54" s="3232">
        <v>53</v>
      </c>
      <c r="B54" s="3232" t="s">
        <v>3663</v>
      </c>
      <c r="D54" s="3234" t="s">
        <v>3629</v>
      </c>
      <c r="E54" s="3232" t="s">
        <v>3224</v>
      </c>
      <c r="F54" s="3232">
        <v>97.45</v>
      </c>
    </row>
    <row r="55" spans="1:6" x14ac:dyDescent="0.2">
      <c r="A55" s="3232">
        <v>54</v>
      </c>
      <c r="B55" s="3232" t="s">
        <v>3664</v>
      </c>
      <c r="D55" s="3234" t="s">
        <v>3630</v>
      </c>
      <c r="E55" s="3232" t="s">
        <v>3224</v>
      </c>
      <c r="F55" s="3232">
        <v>1786.53</v>
      </c>
    </row>
    <row r="56" spans="1:6" x14ac:dyDescent="0.2">
      <c r="A56" s="3232">
        <v>55</v>
      </c>
      <c r="B56" s="3232" t="s">
        <v>3663</v>
      </c>
      <c r="D56" s="3234" t="s">
        <v>3631</v>
      </c>
      <c r="E56" s="3232" t="s">
        <v>3224</v>
      </c>
      <c r="F56" s="3232">
        <v>57.21</v>
      </c>
    </row>
    <row r="57" spans="1:6" x14ac:dyDescent="0.2">
      <c r="A57" s="3232">
        <v>56</v>
      </c>
      <c r="B57" s="3232" t="s">
        <v>3663</v>
      </c>
      <c r="D57" s="3234" t="s">
        <v>3632</v>
      </c>
      <c r="E57" s="3232" t="s">
        <v>3224</v>
      </c>
      <c r="F57" s="3232">
        <v>87.03</v>
      </c>
    </row>
    <row r="58" spans="1:6" x14ac:dyDescent="0.2">
      <c r="A58" s="3232">
        <v>57</v>
      </c>
      <c r="B58" s="3232" t="s">
        <v>3663</v>
      </c>
      <c r="D58" s="3234" t="s">
        <v>3633</v>
      </c>
      <c r="E58" s="3232" t="s">
        <v>3224</v>
      </c>
      <c r="F58" s="3232">
        <v>123.61</v>
      </c>
    </row>
    <row r="59" spans="1:6" x14ac:dyDescent="0.2">
      <c r="A59" s="3232">
        <v>58</v>
      </c>
      <c r="B59" s="3232" t="s">
        <v>3663</v>
      </c>
      <c r="D59" s="3234" t="s">
        <v>3634</v>
      </c>
      <c r="E59" s="3232" t="s">
        <v>3224</v>
      </c>
      <c r="F59" s="3232">
        <v>85.91</v>
      </c>
    </row>
    <row r="60" spans="1:6" x14ac:dyDescent="0.2">
      <c r="A60" s="3232">
        <v>59</v>
      </c>
      <c r="B60" s="3232" t="s">
        <v>3663</v>
      </c>
      <c r="D60" s="3234" t="s">
        <v>3635</v>
      </c>
      <c r="E60" s="3232" t="s">
        <v>3224</v>
      </c>
      <c r="F60" s="3232">
        <v>58.81</v>
      </c>
    </row>
    <row r="61" spans="1:6" x14ac:dyDescent="0.2">
      <c r="A61" s="3232">
        <v>60</v>
      </c>
      <c r="B61" s="3232" t="s">
        <v>3663</v>
      </c>
      <c r="D61" s="3234" t="s">
        <v>3636</v>
      </c>
      <c r="E61" s="3232" t="s">
        <v>3224</v>
      </c>
      <c r="F61" s="3232">
        <v>88.45</v>
      </c>
    </row>
    <row r="62" spans="1:6" x14ac:dyDescent="0.2">
      <c r="A62" s="3232">
        <v>61</v>
      </c>
      <c r="B62" s="3232" t="s">
        <v>3663</v>
      </c>
      <c r="D62" s="3234" t="s">
        <v>3637</v>
      </c>
      <c r="E62" s="3232" t="s">
        <v>3224</v>
      </c>
      <c r="F62" s="3232">
        <v>127.25</v>
      </c>
    </row>
    <row r="63" spans="1:6" x14ac:dyDescent="0.2">
      <c r="A63" s="3232">
        <v>62</v>
      </c>
      <c r="B63" s="3232" t="s">
        <v>3663</v>
      </c>
      <c r="D63" s="3234" t="s">
        <v>3638</v>
      </c>
      <c r="E63" s="3232" t="s">
        <v>3224</v>
      </c>
      <c r="F63" s="3232">
        <v>210.49</v>
      </c>
    </row>
    <row r="64" spans="1:6" x14ac:dyDescent="0.2">
      <c r="A64" s="3232">
        <v>63</v>
      </c>
      <c r="B64" s="3232" t="s">
        <v>3665</v>
      </c>
      <c r="D64" s="3234" t="s">
        <v>3639</v>
      </c>
      <c r="E64" s="3232" t="s">
        <v>3224</v>
      </c>
      <c r="F64" s="3232">
        <v>3840.45</v>
      </c>
    </row>
    <row r="65" spans="1:6" x14ac:dyDescent="0.2">
      <c r="A65" s="3232">
        <v>64</v>
      </c>
      <c r="B65" s="3232" t="s">
        <v>3663</v>
      </c>
      <c r="D65" s="3234" t="s">
        <v>3640</v>
      </c>
      <c r="E65" s="3232" t="s">
        <v>3224</v>
      </c>
      <c r="F65" s="3232">
        <v>129.43</v>
      </c>
    </row>
    <row r="66" spans="1:6" x14ac:dyDescent="0.2">
      <c r="A66" s="3232">
        <v>65</v>
      </c>
      <c r="B66" s="3232" t="s">
        <v>3663</v>
      </c>
      <c r="D66" s="3234" t="s">
        <v>3641</v>
      </c>
      <c r="E66" s="3232" t="s">
        <v>3224</v>
      </c>
      <c r="F66" s="3232">
        <v>51.67</v>
      </c>
    </row>
    <row r="67" spans="1:6" x14ac:dyDescent="0.2">
      <c r="A67" s="3232">
        <v>66</v>
      </c>
      <c r="B67" s="3232" t="s">
        <v>3663</v>
      </c>
      <c r="D67" s="3234" t="s">
        <v>3642</v>
      </c>
      <c r="E67" s="3232" t="s">
        <v>3224</v>
      </c>
      <c r="F67" s="3232">
        <v>47.82</v>
      </c>
    </row>
    <row r="68" spans="1:6" x14ac:dyDescent="0.2">
      <c r="A68" s="3232">
        <v>67</v>
      </c>
      <c r="B68" s="3232" t="s">
        <v>3663</v>
      </c>
      <c r="D68" s="3234" t="s">
        <v>3643</v>
      </c>
      <c r="E68" s="3232" t="s">
        <v>3224</v>
      </c>
      <c r="F68" s="3232">
        <v>58.24</v>
      </c>
    </row>
    <row r="69" spans="1:6" x14ac:dyDescent="0.2">
      <c r="A69" s="3232">
        <v>68</v>
      </c>
      <c r="B69" s="3232" t="s">
        <v>3663</v>
      </c>
      <c r="D69" s="3234" t="s">
        <v>3644</v>
      </c>
      <c r="E69" s="3232" t="s">
        <v>3224</v>
      </c>
      <c r="F69" s="3232">
        <v>80</v>
      </c>
    </row>
    <row r="70" spans="1:6" x14ac:dyDescent="0.2">
      <c r="A70" s="3232">
        <v>69</v>
      </c>
      <c r="B70" s="3232" t="s">
        <v>3663</v>
      </c>
      <c r="D70" s="3234" t="s">
        <v>3645</v>
      </c>
      <c r="E70" s="3232" t="s">
        <v>3224</v>
      </c>
      <c r="F70" s="3232">
        <v>105.57</v>
      </c>
    </row>
    <row r="71" spans="1:6" x14ac:dyDescent="0.2">
      <c r="A71" s="3232">
        <v>70</v>
      </c>
      <c r="B71" s="3232" t="s">
        <v>3664</v>
      </c>
      <c r="D71" s="3234" t="s">
        <v>3646</v>
      </c>
      <c r="E71" s="3232" t="s">
        <v>3224</v>
      </c>
      <c r="F71" s="3232">
        <v>1514.57</v>
      </c>
    </row>
    <row r="72" spans="1:6" x14ac:dyDescent="0.2">
      <c r="A72" s="3232">
        <v>71</v>
      </c>
      <c r="B72" s="3232" t="s">
        <v>3663</v>
      </c>
      <c r="D72" s="3234" t="s">
        <v>3647</v>
      </c>
      <c r="E72" s="3232" t="s">
        <v>3224</v>
      </c>
      <c r="F72" s="3232">
        <v>36.78</v>
      </c>
    </row>
    <row r="73" spans="1:6" x14ac:dyDescent="0.2">
      <c r="A73" s="3232">
        <v>72</v>
      </c>
      <c r="B73" s="3232" t="s">
        <v>3663</v>
      </c>
      <c r="D73" s="3234" t="s">
        <v>3648</v>
      </c>
      <c r="E73" s="3232" t="s">
        <v>3224</v>
      </c>
      <c r="F73" s="3232">
        <v>25.34</v>
      </c>
    </row>
    <row r="74" spans="1:6" x14ac:dyDescent="0.2">
      <c r="A74" s="3232">
        <v>73</v>
      </c>
      <c r="B74" s="3232" t="s">
        <v>3663</v>
      </c>
      <c r="D74" s="3234" t="s">
        <v>3649</v>
      </c>
      <c r="E74" s="3232" t="s">
        <v>3224</v>
      </c>
      <c r="F74" s="3232">
        <v>78.45</v>
      </c>
    </row>
    <row r="75" spans="1:6" x14ac:dyDescent="0.2">
      <c r="A75" s="3232">
        <v>74</v>
      </c>
      <c r="B75" s="3232" t="s">
        <v>3663</v>
      </c>
      <c r="D75" s="3234" t="s">
        <v>3650</v>
      </c>
      <c r="E75" s="3232" t="s">
        <v>3224</v>
      </c>
      <c r="F75" s="3232">
        <v>125.54</v>
      </c>
    </row>
    <row r="76" spans="1:6" x14ac:dyDescent="0.2">
      <c r="A76" s="3232">
        <v>75</v>
      </c>
      <c r="B76" s="3232" t="s">
        <v>3663</v>
      </c>
      <c r="D76" s="3234" t="s">
        <v>3651</v>
      </c>
      <c r="E76" s="3232" t="s">
        <v>3224</v>
      </c>
      <c r="F76" s="3232">
        <v>42.57</v>
      </c>
    </row>
    <row r="77" spans="1:6" x14ac:dyDescent="0.2">
      <c r="A77" s="3232">
        <v>76</v>
      </c>
      <c r="B77" s="3232" t="s">
        <v>3663</v>
      </c>
      <c r="D77" s="3234" t="s">
        <v>3652</v>
      </c>
      <c r="E77" s="3232" t="s">
        <v>3224</v>
      </c>
      <c r="F77" s="3232">
        <v>48.96</v>
      </c>
    </row>
    <row r="78" spans="1:6" x14ac:dyDescent="0.2">
      <c r="A78" s="3232">
        <v>77</v>
      </c>
      <c r="B78" s="3232" t="s">
        <v>3663</v>
      </c>
      <c r="D78" s="3234" t="s">
        <v>3653</v>
      </c>
      <c r="E78" s="3232" t="s">
        <v>3224</v>
      </c>
      <c r="F78" s="3232">
        <v>48.61</v>
      </c>
    </row>
    <row r="79" spans="1:6" x14ac:dyDescent="0.2">
      <c r="A79" s="3232">
        <v>78</v>
      </c>
      <c r="B79" s="3232" t="s">
        <v>3663</v>
      </c>
      <c r="D79" s="3234" t="s">
        <v>3654</v>
      </c>
      <c r="E79" s="3232" t="s">
        <v>3224</v>
      </c>
      <c r="F79" s="3232">
        <v>97.45</v>
      </c>
    </row>
    <row r="80" spans="1:6" x14ac:dyDescent="0.2">
      <c r="A80" s="3232">
        <v>79</v>
      </c>
      <c r="B80" s="3232" t="s">
        <v>3663</v>
      </c>
      <c r="D80" s="3234" t="s">
        <v>3655</v>
      </c>
      <c r="E80" s="3232" t="s">
        <v>3224</v>
      </c>
      <c r="F80" s="3232">
        <v>96.98</v>
      </c>
    </row>
    <row r="81" spans="1:6" x14ac:dyDescent="0.2">
      <c r="A81" s="3232">
        <v>80</v>
      </c>
      <c r="B81" s="3232" t="s">
        <v>3664</v>
      </c>
      <c r="D81" s="3234" t="s">
        <v>3656</v>
      </c>
      <c r="E81" s="3232" t="s">
        <v>3224</v>
      </c>
      <c r="F81" s="3232">
        <v>1245.71</v>
      </c>
    </row>
    <row r="82" spans="1:6" x14ac:dyDescent="0.2">
      <c r="A82" s="3232">
        <v>81</v>
      </c>
      <c r="B82" s="3232" t="s">
        <v>3663</v>
      </c>
      <c r="D82" s="3234" t="s">
        <v>3657</v>
      </c>
      <c r="E82" s="3232" t="s">
        <v>3224</v>
      </c>
      <c r="F82" s="3232">
        <v>132.96</v>
      </c>
    </row>
    <row r="83" spans="1:6" x14ac:dyDescent="0.2">
      <c r="A83" s="3232">
        <v>82</v>
      </c>
      <c r="B83" s="3232" t="s">
        <v>3663</v>
      </c>
      <c r="D83" s="3234" t="s">
        <v>3658</v>
      </c>
      <c r="E83" s="3232" t="s">
        <v>3224</v>
      </c>
      <c r="F83" s="3232">
        <v>134.84</v>
      </c>
    </row>
    <row r="84" spans="1:6" x14ac:dyDescent="0.2">
      <c r="A84" s="3232">
        <v>83</v>
      </c>
      <c r="B84" s="3232" t="s">
        <v>3663</v>
      </c>
      <c r="D84" s="3234" t="s">
        <v>3659</v>
      </c>
      <c r="E84" s="3232" t="s">
        <v>3224</v>
      </c>
      <c r="F84" s="3232">
        <v>99.51</v>
      </c>
    </row>
    <row r="85" spans="1:6" x14ac:dyDescent="0.2">
      <c r="A85" s="3232">
        <v>84</v>
      </c>
      <c r="B85" s="3232" t="s">
        <v>3663</v>
      </c>
      <c r="D85" s="3234" t="s">
        <v>3660</v>
      </c>
      <c r="E85" s="3232" t="s">
        <v>3224</v>
      </c>
      <c r="F85" s="3232">
        <v>46.34</v>
      </c>
    </row>
    <row r="86" spans="1:6" x14ac:dyDescent="0.2">
      <c r="A86" s="3232">
        <v>85</v>
      </c>
      <c r="B86" s="3232" t="s">
        <v>3663</v>
      </c>
      <c r="D86" s="3234" t="s">
        <v>3661</v>
      </c>
      <c r="E86" s="3232" t="s">
        <v>3224</v>
      </c>
      <c r="F86" s="3232">
        <v>10.93</v>
      </c>
    </row>
    <row r="87" spans="1:6" x14ac:dyDescent="0.2">
      <c r="A87" s="3231" t="s">
        <v>4446</v>
      </c>
      <c r="F87" s="3232">
        <f>SUM(F2:F86)</f>
        <v>13711.819999999998</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N23"/>
  <sheetViews>
    <sheetView workbookViewId="0">
      <selection activeCell="E3" sqref="E3:E16"/>
    </sheetView>
  </sheetViews>
  <sheetFormatPr baseColWidth="10" defaultColWidth="8.83203125" defaultRowHeight="15" x14ac:dyDescent="0.2"/>
  <cols>
    <col min="1" max="1" width="5" style="3232" customWidth="1"/>
    <col min="2" max="2" width="5.6640625" style="3232" customWidth="1"/>
    <col min="3" max="3" width="40" style="3232" customWidth="1"/>
    <col min="4" max="4" width="10.6640625" style="3232" customWidth="1"/>
    <col min="5" max="5" width="12.1640625" style="3232" customWidth="1"/>
    <col min="6" max="6" width="8.83203125" style="3232"/>
    <col min="7" max="7" width="13" style="3232" customWidth="1"/>
    <col min="8" max="13" width="8.83203125" style="3232"/>
    <col min="14" max="14" width="10.5" style="3232" bestFit="1" customWidth="1"/>
    <col min="15" max="16384" width="8.83203125" style="3232"/>
  </cols>
  <sheetData>
    <row r="1" spans="1:14" x14ac:dyDescent="0.2">
      <c r="A1" s="3231" t="s">
        <v>3176</v>
      </c>
      <c r="B1" s="3231" t="s">
        <v>3183</v>
      </c>
      <c r="C1" s="3231" t="s">
        <v>3223</v>
      </c>
      <c r="D1" s="3231" t="s">
        <v>3178</v>
      </c>
      <c r="E1" s="3231" t="s">
        <v>3210</v>
      </c>
      <c r="F1" s="3231" t="s">
        <v>3211</v>
      </c>
      <c r="I1" s="3231" t="s">
        <v>3179</v>
      </c>
      <c r="J1" s="3231" t="s">
        <v>4447</v>
      </c>
      <c r="K1" s="3231" t="s">
        <v>4448</v>
      </c>
    </row>
    <row r="2" spans="1:14" x14ac:dyDescent="0.2">
      <c r="A2" s="3232">
        <v>1</v>
      </c>
      <c r="B2" s="3232">
        <v>-2</v>
      </c>
      <c r="C2" s="3233" t="s">
        <v>3220</v>
      </c>
      <c r="D2" s="3231" t="s">
        <v>3181</v>
      </c>
      <c r="E2" s="3231" t="s">
        <v>3222</v>
      </c>
      <c r="F2" s="3232">
        <v>1389.34</v>
      </c>
      <c r="I2" s="3231" t="s">
        <v>3222</v>
      </c>
      <c r="J2" s="3232">
        <v>-2</v>
      </c>
      <c r="K2" s="3232">
        <f>F2</f>
        <v>1389.34</v>
      </c>
    </row>
    <row r="3" spans="1:14" x14ac:dyDescent="0.2">
      <c r="A3" s="3232">
        <v>2</v>
      </c>
      <c r="B3" s="3233" t="s">
        <v>3184</v>
      </c>
      <c r="C3" s="3233" t="s">
        <v>3216</v>
      </c>
      <c r="D3" s="3231" t="s">
        <v>3186</v>
      </c>
      <c r="E3" s="3231" t="s">
        <v>3225</v>
      </c>
      <c r="F3" s="3232">
        <v>128.02000000000001</v>
      </c>
      <c r="J3" s="3232">
        <v>-1</v>
      </c>
      <c r="K3" s="3232">
        <f>F17</f>
        <v>353.11</v>
      </c>
    </row>
    <row r="4" spans="1:14" x14ac:dyDescent="0.2">
      <c r="A4" s="3232">
        <v>3</v>
      </c>
      <c r="B4" s="3233" t="s">
        <v>3184</v>
      </c>
      <c r="C4" s="3233" t="s">
        <v>3217</v>
      </c>
      <c r="D4" s="3231" t="s">
        <v>3189</v>
      </c>
      <c r="E4" s="3231" t="s">
        <v>3225</v>
      </c>
      <c r="F4" s="3232">
        <v>204.64</v>
      </c>
      <c r="I4" s="3231" t="s">
        <v>3225</v>
      </c>
      <c r="J4" s="3233" t="s">
        <v>3184</v>
      </c>
      <c r="K4" s="3232">
        <f>SUM(F3:F15)</f>
        <v>2635.44</v>
      </c>
    </row>
    <row r="5" spans="1:14" x14ac:dyDescent="0.2">
      <c r="A5" s="3232">
        <v>4</v>
      </c>
      <c r="B5" s="3233" t="s">
        <v>3184</v>
      </c>
      <c r="C5" s="3233" t="s">
        <v>3218</v>
      </c>
      <c r="D5" s="3231" t="s">
        <v>3191</v>
      </c>
      <c r="E5" s="3231" t="s">
        <v>3225</v>
      </c>
      <c r="F5" s="3232">
        <v>196.66</v>
      </c>
      <c r="I5" s="3231" t="s">
        <v>3213</v>
      </c>
      <c r="J5" s="3232">
        <v>-1</v>
      </c>
      <c r="K5" s="3232">
        <f>F16</f>
        <v>913.44</v>
      </c>
    </row>
    <row r="6" spans="1:14" x14ac:dyDescent="0.2">
      <c r="A6" s="3232">
        <v>5</v>
      </c>
      <c r="B6" s="3233" t="s">
        <v>3184</v>
      </c>
      <c r="C6" s="3233" t="s">
        <v>3219</v>
      </c>
      <c r="D6" s="3231" t="s">
        <v>3193</v>
      </c>
      <c r="E6" s="3231" t="s">
        <v>3225</v>
      </c>
      <c r="F6" s="3232">
        <v>676.95</v>
      </c>
      <c r="K6" s="3232">
        <f>SUM(K2:K5)</f>
        <v>5291.33</v>
      </c>
    </row>
    <row r="7" spans="1:14" x14ac:dyDescent="0.2">
      <c r="A7" s="3232">
        <v>6</v>
      </c>
      <c r="B7" s="3233" t="s">
        <v>3184</v>
      </c>
      <c r="C7" s="3233" t="s">
        <v>3226</v>
      </c>
      <c r="D7" s="3231" t="s">
        <v>3194</v>
      </c>
      <c r="E7" s="3231" t="s">
        <v>3225</v>
      </c>
      <c r="F7" s="3232">
        <v>188.2</v>
      </c>
    </row>
    <row r="8" spans="1:14" x14ac:dyDescent="0.2">
      <c r="A8" s="3232">
        <v>7</v>
      </c>
      <c r="B8" s="3233" t="s">
        <v>3184</v>
      </c>
      <c r="C8" s="3233" t="s">
        <v>3227</v>
      </c>
      <c r="D8" s="3231" t="s">
        <v>3195</v>
      </c>
      <c r="E8" s="3231" t="s">
        <v>3225</v>
      </c>
      <c r="F8" s="3232">
        <v>193.78</v>
      </c>
    </row>
    <row r="9" spans="1:14" x14ac:dyDescent="0.2">
      <c r="A9" s="3232">
        <v>8</v>
      </c>
      <c r="B9" s="3233" t="s">
        <v>3184</v>
      </c>
      <c r="C9" s="3233" t="s">
        <v>3228</v>
      </c>
      <c r="D9" s="3231" t="s">
        <v>3197</v>
      </c>
      <c r="E9" s="3231" t="s">
        <v>3225</v>
      </c>
      <c r="F9" s="3232">
        <v>113.83</v>
      </c>
    </row>
    <row r="10" spans="1:14" x14ac:dyDescent="0.2">
      <c r="A10" s="3232">
        <v>9</v>
      </c>
      <c r="B10" s="3233" t="s">
        <v>3184</v>
      </c>
      <c r="C10" s="3233" t="s">
        <v>3229</v>
      </c>
      <c r="D10" s="3231" t="s">
        <v>3202</v>
      </c>
      <c r="E10" s="3231" t="s">
        <v>3225</v>
      </c>
      <c r="F10" s="3232">
        <v>147.19999999999999</v>
      </c>
    </row>
    <row r="11" spans="1:14" x14ac:dyDescent="0.2">
      <c r="A11" s="3232">
        <v>10</v>
      </c>
      <c r="B11" s="3233" t="s">
        <v>3184</v>
      </c>
      <c r="C11" s="3233" t="s">
        <v>3230</v>
      </c>
      <c r="D11" s="3231" t="s">
        <v>3203</v>
      </c>
      <c r="E11" s="3231" t="s">
        <v>3225</v>
      </c>
      <c r="F11" s="3232">
        <v>165.28</v>
      </c>
    </row>
    <row r="12" spans="1:14" x14ac:dyDescent="0.2">
      <c r="A12" s="3232">
        <v>11</v>
      </c>
      <c r="B12" s="3233" t="s">
        <v>3184</v>
      </c>
      <c r="C12" s="3233" t="s">
        <v>3231</v>
      </c>
      <c r="D12" s="3231" t="s">
        <v>3204</v>
      </c>
      <c r="E12" s="3231" t="s">
        <v>3225</v>
      </c>
      <c r="F12" s="3232">
        <v>169.42</v>
      </c>
      <c r="J12" s="3231" t="s">
        <v>3213</v>
      </c>
      <c r="K12" s="3233" t="s">
        <v>3185</v>
      </c>
      <c r="L12" s="3232">
        <f>'3号楼'!K5</f>
        <v>913.44</v>
      </c>
    </row>
    <row r="13" spans="1:14" x14ac:dyDescent="0.2">
      <c r="A13" s="3232">
        <v>12</v>
      </c>
      <c r="B13" s="3233" t="s">
        <v>3184</v>
      </c>
      <c r="C13" s="3233" t="s">
        <v>3232</v>
      </c>
      <c r="D13" s="3231" t="s">
        <v>3205</v>
      </c>
      <c r="E13" s="3231" t="s">
        <v>3225</v>
      </c>
      <c r="F13" s="3232">
        <v>147.99</v>
      </c>
      <c r="J13" s="3231" t="s">
        <v>3225</v>
      </c>
      <c r="K13" s="3234">
        <v>1</v>
      </c>
      <c r="L13" s="3232">
        <f>'2号楼'!K3</f>
        <v>2881.9600000000037</v>
      </c>
    </row>
    <row r="14" spans="1:14" x14ac:dyDescent="0.2">
      <c r="A14" s="3232">
        <v>13</v>
      </c>
      <c r="B14" s="3233" t="s">
        <v>3184</v>
      </c>
      <c r="C14" s="3233" t="s">
        <v>3233</v>
      </c>
      <c r="D14" s="3231" t="s">
        <v>3207</v>
      </c>
      <c r="E14" s="3231" t="s">
        <v>3225</v>
      </c>
      <c r="F14" s="3232">
        <v>148.62</v>
      </c>
      <c r="K14" s="3233" t="s">
        <v>3184</v>
      </c>
      <c r="L14" s="3232">
        <f>'2号楼'!K4+'3号楼'!K4</f>
        <v>7182.25</v>
      </c>
    </row>
    <row r="15" spans="1:14" x14ac:dyDescent="0.2">
      <c r="A15" s="3232">
        <v>14</v>
      </c>
      <c r="B15" s="3233" t="s">
        <v>3184</v>
      </c>
      <c r="C15" s="3233" t="s">
        <v>3234</v>
      </c>
      <c r="D15" s="3231" t="s">
        <v>3209</v>
      </c>
      <c r="E15" s="3231" t="s">
        <v>3225</v>
      </c>
      <c r="F15" s="3232">
        <v>154.85</v>
      </c>
      <c r="K15" s="3232">
        <v>-1</v>
      </c>
      <c r="L15" s="3232">
        <f>'2号楼'!K5</f>
        <v>3840.45</v>
      </c>
    </row>
    <row r="16" spans="1:14" x14ac:dyDescent="0.2">
      <c r="A16" s="3232">
        <v>15</v>
      </c>
      <c r="B16" s="3233" t="s">
        <v>3185</v>
      </c>
      <c r="C16" s="3233" t="s">
        <v>3215</v>
      </c>
      <c r="D16" s="3231" t="s">
        <v>3209</v>
      </c>
      <c r="E16" s="3231" t="s">
        <v>3213</v>
      </c>
      <c r="F16" s="3232">
        <v>913.44</v>
      </c>
      <c r="G16" s="3235">
        <v>63764</v>
      </c>
      <c r="L16" s="3232">
        <f>L12+L13+L14+L15</f>
        <v>14818.100000000002</v>
      </c>
      <c r="M16" s="3232">
        <v>38000</v>
      </c>
      <c r="N16" s="3232">
        <f>L16*M16/10000</f>
        <v>56308.780000000013</v>
      </c>
    </row>
    <row r="17" spans="1:14" x14ac:dyDescent="0.2">
      <c r="A17" s="3232">
        <v>16</v>
      </c>
      <c r="B17" s="3234">
        <v>-1</v>
      </c>
      <c r="C17" s="3233" t="s">
        <v>3214</v>
      </c>
      <c r="D17" s="3231" t="s">
        <v>3181</v>
      </c>
      <c r="E17" s="3231" t="s">
        <v>3222</v>
      </c>
      <c r="F17" s="3232">
        <v>353.11</v>
      </c>
      <c r="J17" s="3231" t="s">
        <v>3222</v>
      </c>
      <c r="K17" s="3232">
        <v>-1</v>
      </c>
      <c r="L17" s="3232">
        <f>'3号楼'!K3</f>
        <v>353.11</v>
      </c>
    </row>
    <row r="18" spans="1:14" x14ac:dyDescent="0.2">
      <c r="A18" s="3231" t="s">
        <v>4446</v>
      </c>
      <c r="F18" s="3232">
        <f>SUM(F2:F17)</f>
        <v>5291.33</v>
      </c>
      <c r="K18" s="3234">
        <v>-2</v>
      </c>
      <c r="L18" s="3234">
        <f>'1号楼'!M2+'2号楼'!K2+'3号楼'!K2+'7号楼'!K2</f>
        <v>26091.710000000079</v>
      </c>
    </row>
    <row r="19" spans="1:14" x14ac:dyDescent="0.2">
      <c r="K19" s="3234">
        <v>-3</v>
      </c>
      <c r="L19" s="3234">
        <f>'1号楼'!M3+'7号楼'!K3</f>
        <v>10435.619999999981</v>
      </c>
    </row>
    <row r="20" spans="1:14" x14ac:dyDescent="0.2">
      <c r="K20" s="3234"/>
      <c r="L20" s="3234">
        <f>L17+L18+L19</f>
        <v>36880.440000000061</v>
      </c>
      <c r="M20" s="3232">
        <v>4500</v>
      </c>
      <c r="N20" s="3234">
        <f>L20*M20/10000</f>
        <v>16596.198000000026</v>
      </c>
    </row>
    <row r="21" spans="1:14" x14ac:dyDescent="0.2">
      <c r="K21" s="3234"/>
    </row>
    <row r="22" spans="1:14" x14ac:dyDescent="0.2">
      <c r="K22" s="3234"/>
      <c r="L22" s="3234"/>
      <c r="N22" s="3234">
        <f>N16+N20</f>
        <v>72904.978000000032</v>
      </c>
    </row>
    <row r="23" spans="1:14" x14ac:dyDescent="0.2">
      <c r="K23" s="3234"/>
    </row>
  </sheetData>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K779"/>
  <sheetViews>
    <sheetView workbookViewId="0">
      <selection activeCell="I15" sqref="I15"/>
    </sheetView>
  </sheetViews>
  <sheetFormatPr baseColWidth="10" defaultColWidth="8.83203125" defaultRowHeight="15" x14ac:dyDescent="0.2"/>
  <sheetData>
    <row r="1" spans="1:11" x14ac:dyDescent="0.2">
      <c r="A1" s="3231" t="s">
        <v>3176</v>
      </c>
      <c r="B1" s="3231" t="s">
        <v>3183</v>
      </c>
      <c r="C1" s="3231" t="s">
        <v>3223</v>
      </c>
      <c r="D1" s="3231" t="s">
        <v>3178</v>
      </c>
      <c r="E1" s="3231" t="s">
        <v>3210</v>
      </c>
      <c r="F1" s="3231" t="s">
        <v>3211</v>
      </c>
      <c r="I1" s="3231" t="s">
        <v>3179</v>
      </c>
      <c r="J1" s="3231" t="s">
        <v>4447</v>
      </c>
      <c r="K1" s="3231" t="s">
        <v>4448</v>
      </c>
    </row>
    <row r="2" spans="1:11" x14ac:dyDescent="0.2">
      <c r="A2">
        <v>1</v>
      </c>
      <c r="B2" t="s">
        <v>3662</v>
      </c>
      <c r="C2" s="3230" t="s">
        <v>4445</v>
      </c>
      <c r="D2" t="s">
        <v>3667</v>
      </c>
      <c r="E2" t="s">
        <v>3221</v>
      </c>
      <c r="F2">
        <v>29.09</v>
      </c>
      <c r="I2" s="3230" t="s">
        <v>3222</v>
      </c>
      <c r="J2">
        <v>-2</v>
      </c>
      <c r="K2">
        <f>SUM(F2:F653)</f>
        <v>18926.620000000086</v>
      </c>
    </row>
    <row r="3" spans="1:11" x14ac:dyDescent="0.2">
      <c r="A3">
        <v>2</v>
      </c>
      <c r="B3" t="s">
        <v>3662</v>
      </c>
      <c r="D3" t="s">
        <v>3668</v>
      </c>
      <c r="E3" t="s">
        <v>3221</v>
      </c>
      <c r="F3">
        <v>29.09</v>
      </c>
      <c r="J3">
        <v>-3</v>
      </c>
      <c r="K3">
        <f>SUM(F654:F778)</f>
        <v>3636.2500000000055</v>
      </c>
    </row>
    <row r="4" spans="1:11" x14ac:dyDescent="0.2">
      <c r="A4">
        <v>3</v>
      </c>
      <c r="B4" t="s">
        <v>3662</v>
      </c>
      <c r="D4" t="s">
        <v>3669</v>
      </c>
      <c r="E4" t="s">
        <v>3221</v>
      </c>
      <c r="F4">
        <v>29.09</v>
      </c>
      <c r="K4">
        <f>K2+K3</f>
        <v>22562.87000000009</v>
      </c>
    </row>
    <row r="5" spans="1:11" x14ac:dyDescent="0.2">
      <c r="A5">
        <v>4</v>
      </c>
      <c r="B5" t="s">
        <v>3662</v>
      </c>
      <c r="D5" t="s">
        <v>3670</v>
      </c>
      <c r="E5" t="s">
        <v>3221</v>
      </c>
      <c r="F5">
        <v>29.09</v>
      </c>
    </row>
    <row r="6" spans="1:11" x14ac:dyDescent="0.2">
      <c r="A6">
        <v>5</v>
      </c>
      <c r="B6" t="s">
        <v>3662</v>
      </c>
      <c r="D6" t="s">
        <v>3671</v>
      </c>
      <c r="E6" t="s">
        <v>3221</v>
      </c>
      <c r="F6">
        <v>29.09</v>
      </c>
    </row>
    <row r="7" spans="1:11" x14ac:dyDescent="0.2">
      <c r="A7">
        <v>6</v>
      </c>
      <c r="B7" t="s">
        <v>3662</v>
      </c>
      <c r="D7" t="s">
        <v>3672</v>
      </c>
      <c r="E7" t="s">
        <v>3221</v>
      </c>
      <c r="F7">
        <v>29.09</v>
      </c>
    </row>
    <row r="8" spans="1:11" x14ac:dyDescent="0.2">
      <c r="A8">
        <v>7</v>
      </c>
      <c r="B8" t="s">
        <v>3662</v>
      </c>
      <c r="D8" t="s">
        <v>3673</v>
      </c>
      <c r="E8" t="s">
        <v>3221</v>
      </c>
      <c r="F8">
        <v>29.09</v>
      </c>
    </row>
    <row r="9" spans="1:11" x14ac:dyDescent="0.2">
      <c r="A9">
        <v>8</v>
      </c>
      <c r="B9" t="s">
        <v>3662</v>
      </c>
      <c r="D9" t="s">
        <v>3674</v>
      </c>
      <c r="E9" t="s">
        <v>3221</v>
      </c>
      <c r="F9">
        <v>29.09</v>
      </c>
    </row>
    <row r="10" spans="1:11" x14ac:dyDescent="0.2">
      <c r="A10">
        <v>9</v>
      </c>
      <c r="B10" t="s">
        <v>3662</v>
      </c>
      <c r="D10" t="s">
        <v>3675</v>
      </c>
      <c r="E10" t="s">
        <v>3221</v>
      </c>
      <c r="F10">
        <v>29.09</v>
      </c>
    </row>
    <row r="11" spans="1:11" x14ac:dyDescent="0.2">
      <c r="A11">
        <v>10</v>
      </c>
      <c r="B11" t="s">
        <v>3662</v>
      </c>
      <c r="D11" t="s">
        <v>3676</v>
      </c>
      <c r="E11" t="s">
        <v>3221</v>
      </c>
      <c r="F11">
        <v>29.09</v>
      </c>
    </row>
    <row r="12" spans="1:11" x14ac:dyDescent="0.2">
      <c r="A12">
        <v>11</v>
      </c>
      <c r="B12" t="s">
        <v>3662</v>
      </c>
      <c r="D12" t="s">
        <v>3677</v>
      </c>
      <c r="E12" t="s">
        <v>3221</v>
      </c>
      <c r="F12">
        <v>29.09</v>
      </c>
    </row>
    <row r="13" spans="1:11" x14ac:dyDescent="0.2">
      <c r="A13">
        <v>12</v>
      </c>
      <c r="B13" t="s">
        <v>3662</v>
      </c>
      <c r="D13" t="s">
        <v>3678</v>
      </c>
      <c r="E13" t="s">
        <v>3221</v>
      </c>
      <c r="F13">
        <v>29.09</v>
      </c>
    </row>
    <row r="14" spans="1:11" x14ac:dyDescent="0.2">
      <c r="A14">
        <v>13</v>
      </c>
      <c r="B14" t="s">
        <v>3662</v>
      </c>
      <c r="D14" t="s">
        <v>3679</v>
      </c>
      <c r="E14" t="s">
        <v>3221</v>
      </c>
      <c r="F14">
        <v>29.09</v>
      </c>
    </row>
    <row r="15" spans="1:11" x14ac:dyDescent="0.2">
      <c r="A15">
        <v>14</v>
      </c>
      <c r="B15" t="s">
        <v>3662</v>
      </c>
      <c r="D15" t="s">
        <v>3680</v>
      </c>
      <c r="E15" t="s">
        <v>3221</v>
      </c>
      <c r="F15">
        <v>29.09</v>
      </c>
    </row>
    <row r="16" spans="1:11" x14ac:dyDescent="0.2">
      <c r="A16">
        <v>15</v>
      </c>
      <c r="B16" t="s">
        <v>3662</v>
      </c>
      <c r="D16" t="s">
        <v>3681</v>
      </c>
      <c r="E16" t="s">
        <v>3221</v>
      </c>
      <c r="F16">
        <v>29.09</v>
      </c>
    </row>
    <row r="17" spans="1:6" x14ac:dyDescent="0.2">
      <c r="A17">
        <v>16</v>
      </c>
      <c r="B17" t="s">
        <v>3662</v>
      </c>
      <c r="D17" t="s">
        <v>3682</v>
      </c>
      <c r="E17" t="s">
        <v>3221</v>
      </c>
      <c r="F17">
        <v>29.09</v>
      </c>
    </row>
    <row r="18" spans="1:6" x14ac:dyDescent="0.2">
      <c r="A18">
        <v>17</v>
      </c>
      <c r="B18" t="s">
        <v>3662</v>
      </c>
      <c r="D18" t="s">
        <v>3683</v>
      </c>
      <c r="E18" t="s">
        <v>3221</v>
      </c>
      <c r="F18">
        <v>29.09</v>
      </c>
    </row>
    <row r="19" spans="1:6" x14ac:dyDescent="0.2">
      <c r="A19">
        <v>18</v>
      </c>
      <c r="B19" t="s">
        <v>3662</v>
      </c>
      <c r="D19" t="s">
        <v>3684</v>
      </c>
      <c r="E19" t="s">
        <v>3221</v>
      </c>
      <c r="F19">
        <v>29.09</v>
      </c>
    </row>
    <row r="20" spans="1:6" x14ac:dyDescent="0.2">
      <c r="A20">
        <v>19</v>
      </c>
      <c r="B20" t="s">
        <v>3662</v>
      </c>
      <c r="D20" t="s">
        <v>3685</v>
      </c>
      <c r="E20" t="s">
        <v>3221</v>
      </c>
      <c r="F20">
        <v>29.09</v>
      </c>
    </row>
    <row r="21" spans="1:6" x14ac:dyDescent="0.2">
      <c r="A21">
        <v>20</v>
      </c>
      <c r="B21" t="s">
        <v>3662</v>
      </c>
      <c r="D21" t="s">
        <v>3686</v>
      </c>
      <c r="E21" t="s">
        <v>3221</v>
      </c>
      <c r="F21">
        <v>29.09</v>
      </c>
    </row>
    <row r="22" spans="1:6" x14ac:dyDescent="0.2">
      <c r="A22">
        <v>21</v>
      </c>
      <c r="B22" t="s">
        <v>3662</v>
      </c>
      <c r="D22" t="s">
        <v>3687</v>
      </c>
      <c r="E22" t="s">
        <v>3221</v>
      </c>
      <c r="F22">
        <v>29.09</v>
      </c>
    </row>
    <row r="23" spans="1:6" x14ac:dyDescent="0.2">
      <c r="A23">
        <v>22</v>
      </c>
      <c r="B23" t="s">
        <v>3662</v>
      </c>
      <c r="D23" t="s">
        <v>3688</v>
      </c>
      <c r="E23" t="s">
        <v>3221</v>
      </c>
      <c r="F23">
        <v>29.09</v>
      </c>
    </row>
    <row r="24" spans="1:6" x14ac:dyDescent="0.2">
      <c r="A24">
        <v>23</v>
      </c>
      <c r="B24" t="s">
        <v>3662</v>
      </c>
      <c r="D24" t="s">
        <v>3689</v>
      </c>
      <c r="E24" t="s">
        <v>3221</v>
      </c>
      <c r="F24">
        <v>29.09</v>
      </c>
    </row>
    <row r="25" spans="1:6" x14ac:dyDescent="0.2">
      <c r="A25">
        <v>24</v>
      </c>
      <c r="B25" t="s">
        <v>3662</v>
      </c>
      <c r="D25" t="s">
        <v>3690</v>
      </c>
      <c r="E25" t="s">
        <v>3221</v>
      </c>
      <c r="F25">
        <v>29.09</v>
      </c>
    </row>
    <row r="26" spans="1:6" x14ac:dyDescent="0.2">
      <c r="A26">
        <v>25</v>
      </c>
      <c r="B26" t="s">
        <v>3662</v>
      </c>
      <c r="D26" t="s">
        <v>3691</v>
      </c>
      <c r="E26" t="s">
        <v>3221</v>
      </c>
      <c r="F26">
        <v>29.09</v>
      </c>
    </row>
    <row r="27" spans="1:6" x14ac:dyDescent="0.2">
      <c r="A27">
        <v>26</v>
      </c>
      <c r="B27" t="s">
        <v>3662</v>
      </c>
      <c r="D27" t="s">
        <v>3692</v>
      </c>
      <c r="E27" t="s">
        <v>3221</v>
      </c>
      <c r="F27">
        <v>29.09</v>
      </c>
    </row>
    <row r="28" spans="1:6" x14ac:dyDescent="0.2">
      <c r="A28">
        <v>27</v>
      </c>
      <c r="B28" t="s">
        <v>3662</v>
      </c>
      <c r="D28" t="s">
        <v>3693</v>
      </c>
      <c r="E28" t="s">
        <v>3221</v>
      </c>
      <c r="F28">
        <v>29.09</v>
      </c>
    </row>
    <row r="29" spans="1:6" x14ac:dyDescent="0.2">
      <c r="A29">
        <v>28</v>
      </c>
      <c r="B29" t="s">
        <v>3662</v>
      </c>
      <c r="D29" t="s">
        <v>3694</v>
      </c>
      <c r="E29" t="s">
        <v>3221</v>
      </c>
      <c r="F29">
        <v>29.09</v>
      </c>
    </row>
    <row r="30" spans="1:6" x14ac:dyDescent="0.2">
      <c r="A30">
        <v>29</v>
      </c>
      <c r="B30" t="s">
        <v>3662</v>
      </c>
      <c r="D30" t="s">
        <v>3695</v>
      </c>
      <c r="E30" t="s">
        <v>3221</v>
      </c>
      <c r="F30">
        <v>29.09</v>
      </c>
    </row>
    <row r="31" spans="1:6" x14ac:dyDescent="0.2">
      <c r="A31">
        <v>30</v>
      </c>
      <c r="B31" t="s">
        <v>3662</v>
      </c>
      <c r="D31" t="s">
        <v>3696</v>
      </c>
      <c r="E31" t="s">
        <v>3221</v>
      </c>
      <c r="F31">
        <v>29.09</v>
      </c>
    </row>
    <row r="32" spans="1:6" x14ac:dyDescent="0.2">
      <c r="A32">
        <v>31</v>
      </c>
      <c r="B32" t="s">
        <v>3662</v>
      </c>
      <c r="D32" t="s">
        <v>3697</v>
      </c>
      <c r="E32" t="s">
        <v>3221</v>
      </c>
      <c r="F32">
        <v>29.09</v>
      </c>
    </row>
    <row r="33" spans="1:6" x14ac:dyDescent="0.2">
      <c r="A33">
        <v>32</v>
      </c>
      <c r="B33" t="s">
        <v>3662</v>
      </c>
      <c r="D33" t="s">
        <v>3698</v>
      </c>
      <c r="E33" t="s">
        <v>3221</v>
      </c>
      <c r="F33">
        <v>29.09</v>
      </c>
    </row>
    <row r="34" spans="1:6" x14ac:dyDescent="0.2">
      <c r="A34">
        <v>33</v>
      </c>
      <c r="B34" t="s">
        <v>3662</v>
      </c>
      <c r="D34" t="s">
        <v>3699</v>
      </c>
      <c r="E34" t="s">
        <v>3221</v>
      </c>
      <c r="F34">
        <v>29.09</v>
      </c>
    </row>
    <row r="35" spans="1:6" x14ac:dyDescent="0.2">
      <c r="A35">
        <v>34</v>
      </c>
      <c r="B35" t="s">
        <v>3662</v>
      </c>
      <c r="D35" t="s">
        <v>3700</v>
      </c>
      <c r="E35" t="s">
        <v>3221</v>
      </c>
      <c r="F35">
        <v>29.09</v>
      </c>
    </row>
    <row r="36" spans="1:6" x14ac:dyDescent="0.2">
      <c r="A36">
        <v>35</v>
      </c>
      <c r="B36" t="s">
        <v>3662</v>
      </c>
      <c r="D36" t="s">
        <v>3701</v>
      </c>
      <c r="E36" t="s">
        <v>3221</v>
      </c>
      <c r="F36">
        <v>29.09</v>
      </c>
    </row>
    <row r="37" spans="1:6" x14ac:dyDescent="0.2">
      <c r="A37">
        <v>36</v>
      </c>
      <c r="B37" t="s">
        <v>3662</v>
      </c>
      <c r="D37" t="s">
        <v>3702</v>
      </c>
      <c r="E37" t="s">
        <v>3221</v>
      </c>
      <c r="F37">
        <v>29.09</v>
      </c>
    </row>
    <row r="38" spans="1:6" x14ac:dyDescent="0.2">
      <c r="A38">
        <v>37</v>
      </c>
      <c r="B38" t="s">
        <v>3662</v>
      </c>
      <c r="D38" t="s">
        <v>3703</v>
      </c>
      <c r="E38" t="s">
        <v>3221</v>
      </c>
      <c r="F38">
        <v>29.09</v>
      </c>
    </row>
    <row r="39" spans="1:6" x14ac:dyDescent="0.2">
      <c r="A39">
        <v>38</v>
      </c>
      <c r="B39" t="s">
        <v>3662</v>
      </c>
      <c r="D39" t="s">
        <v>3704</v>
      </c>
      <c r="E39" t="s">
        <v>3221</v>
      </c>
      <c r="F39">
        <v>29.09</v>
      </c>
    </row>
    <row r="40" spans="1:6" x14ac:dyDescent="0.2">
      <c r="A40">
        <v>39</v>
      </c>
      <c r="B40" t="s">
        <v>3662</v>
      </c>
      <c r="D40" t="s">
        <v>3705</v>
      </c>
      <c r="E40" t="s">
        <v>3221</v>
      </c>
      <c r="F40">
        <v>29.09</v>
      </c>
    </row>
    <row r="41" spans="1:6" x14ac:dyDescent="0.2">
      <c r="A41">
        <v>40</v>
      </c>
      <c r="B41" t="s">
        <v>3662</v>
      </c>
      <c r="D41" t="s">
        <v>3706</v>
      </c>
      <c r="E41" t="s">
        <v>3221</v>
      </c>
      <c r="F41">
        <v>29.09</v>
      </c>
    </row>
    <row r="42" spans="1:6" x14ac:dyDescent="0.2">
      <c r="A42">
        <v>41</v>
      </c>
      <c r="B42" t="s">
        <v>3662</v>
      </c>
      <c r="D42" t="s">
        <v>3707</v>
      </c>
      <c r="E42" t="s">
        <v>3221</v>
      </c>
      <c r="F42">
        <v>29.09</v>
      </c>
    </row>
    <row r="43" spans="1:6" x14ac:dyDescent="0.2">
      <c r="A43">
        <v>42</v>
      </c>
      <c r="B43" t="s">
        <v>3662</v>
      </c>
      <c r="D43" t="s">
        <v>3708</v>
      </c>
      <c r="E43" t="s">
        <v>3221</v>
      </c>
      <c r="F43">
        <v>29.09</v>
      </c>
    </row>
    <row r="44" spans="1:6" x14ac:dyDescent="0.2">
      <c r="A44">
        <v>43</v>
      </c>
      <c r="B44" t="s">
        <v>3662</v>
      </c>
      <c r="D44" t="s">
        <v>3709</v>
      </c>
      <c r="E44" t="s">
        <v>3221</v>
      </c>
      <c r="F44">
        <v>29.09</v>
      </c>
    </row>
    <row r="45" spans="1:6" x14ac:dyDescent="0.2">
      <c r="A45">
        <v>44</v>
      </c>
      <c r="B45" t="s">
        <v>3662</v>
      </c>
      <c r="D45" t="s">
        <v>3710</v>
      </c>
      <c r="E45" t="s">
        <v>3221</v>
      </c>
      <c r="F45">
        <v>29.09</v>
      </c>
    </row>
    <row r="46" spans="1:6" x14ac:dyDescent="0.2">
      <c r="A46">
        <v>45</v>
      </c>
      <c r="B46" t="s">
        <v>3662</v>
      </c>
      <c r="D46" t="s">
        <v>3711</v>
      </c>
      <c r="E46" t="s">
        <v>3221</v>
      </c>
      <c r="F46">
        <v>29.09</v>
      </c>
    </row>
    <row r="47" spans="1:6" x14ac:dyDescent="0.2">
      <c r="A47">
        <v>46</v>
      </c>
      <c r="B47" t="s">
        <v>3662</v>
      </c>
      <c r="D47" t="s">
        <v>3712</v>
      </c>
      <c r="E47" t="s">
        <v>3221</v>
      </c>
      <c r="F47">
        <v>29.09</v>
      </c>
    </row>
    <row r="48" spans="1:6" x14ac:dyDescent="0.2">
      <c r="A48">
        <v>47</v>
      </c>
      <c r="B48" t="s">
        <v>3662</v>
      </c>
      <c r="D48" t="s">
        <v>3713</v>
      </c>
      <c r="E48" t="s">
        <v>3221</v>
      </c>
      <c r="F48">
        <v>29.09</v>
      </c>
    </row>
    <row r="49" spans="1:6" x14ac:dyDescent="0.2">
      <c r="A49">
        <v>48</v>
      </c>
      <c r="B49" t="s">
        <v>3662</v>
      </c>
      <c r="D49" t="s">
        <v>3714</v>
      </c>
      <c r="E49" t="s">
        <v>3221</v>
      </c>
      <c r="F49">
        <v>29.09</v>
      </c>
    </row>
    <row r="50" spans="1:6" x14ac:dyDescent="0.2">
      <c r="A50">
        <v>49</v>
      </c>
      <c r="B50" t="s">
        <v>3662</v>
      </c>
      <c r="D50" t="s">
        <v>3715</v>
      </c>
      <c r="E50" t="s">
        <v>3221</v>
      </c>
      <c r="F50">
        <v>29.09</v>
      </c>
    </row>
    <row r="51" spans="1:6" x14ac:dyDescent="0.2">
      <c r="A51">
        <v>50</v>
      </c>
      <c r="B51" t="s">
        <v>3662</v>
      </c>
      <c r="D51" t="s">
        <v>3716</v>
      </c>
      <c r="E51" t="s">
        <v>3221</v>
      </c>
      <c r="F51">
        <v>29.09</v>
      </c>
    </row>
    <row r="52" spans="1:6" x14ac:dyDescent="0.2">
      <c r="A52">
        <v>51</v>
      </c>
      <c r="B52" t="s">
        <v>3662</v>
      </c>
      <c r="D52" t="s">
        <v>3717</v>
      </c>
      <c r="E52" t="s">
        <v>3221</v>
      </c>
      <c r="F52">
        <v>29.09</v>
      </c>
    </row>
    <row r="53" spans="1:6" x14ac:dyDescent="0.2">
      <c r="A53">
        <v>52</v>
      </c>
      <c r="B53" t="s">
        <v>3662</v>
      </c>
      <c r="D53" t="s">
        <v>3718</v>
      </c>
      <c r="E53" t="s">
        <v>3221</v>
      </c>
      <c r="F53">
        <v>29.09</v>
      </c>
    </row>
    <row r="54" spans="1:6" x14ac:dyDescent="0.2">
      <c r="A54">
        <v>53</v>
      </c>
      <c r="B54" t="s">
        <v>3662</v>
      </c>
      <c r="D54" t="s">
        <v>3719</v>
      </c>
      <c r="E54" t="s">
        <v>3221</v>
      </c>
      <c r="F54">
        <v>29.09</v>
      </c>
    </row>
    <row r="55" spans="1:6" x14ac:dyDescent="0.2">
      <c r="A55">
        <v>54</v>
      </c>
      <c r="B55" t="s">
        <v>3662</v>
      </c>
      <c r="D55" t="s">
        <v>3720</v>
      </c>
      <c r="E55" t="s">
        <v>3221</v>
      </c>
      <c r="F55">
        <v>29.09</v>
      </c>
    </row>
    <row r="56" spans="1:6" x14ac:dyDescent="0.2">
      <c r="A56">
        <v>55</v>
      </c>
      <c r="B56" t="s">
        <v>3662</v>
      </c>
      <c r="D56" t="s">
        <v>3721</v>
      </c>
      <c r="E56" t="s">
        <v>3221</v>
      </c>
      <c r="F56">
        <v>29.09</v>
      </c>
    </row>
    <row r="57" spans="1:6" x14ac:dyDescent="0.2">
      <c r="A57">
        <v>56</v>
      </c>
      <c r="B57" t="s">
        <v>3662</v>
      </c>
      <c r="D57" t="s">
        <v>3722</v>
      </c>
      <c r="E57" t="s">
        <v>3221</v>
      </c>
      <c r="F57">
        <v>29.09</v>
      </c>
    </row>
    <row r="58" spans="1:6" x14ac:dyDescent="0.2">
      <c r="A58">
        <v>57</v>
      </c>
      <c r="B58" t="s">
        <v>3662</v>
      </c>
      <c r="D58" t="s">
        <v>3723</v>
      </c>
      <c r="E58" t="s">
        <v>3221</v>
      </c>
      <c r="F58">
        <v>29.09</v>
      </c>
    </row>
    <row r="59" spans="1:6" x14ac:dyDescent="0.2">
      <c r="A59">
        <v>58</v>
      </c>
      <c r="B59" t="s">
        <v>3662</v>
      </c>
      <c r="D59" t="s">
        <v>3724</v>
      </c>
      <c r="E59" t="s">
        <v>3221</v>
      </c>
      <c r="F59">
        <v>29.09</v>
      </c>
    </row>
    <row r="60" spans="1:6" x14ac:dyDescent="0.2">
      <c r="A60">
        <v>59</v>
      </c>
      <c r="B60" t="s">
        <v>3662</v>
      </c>
      <c r="D60" t="s">
        <v>3725</v>
      </c>
      <c r="E60" t="s">
        <v>3221</v>
      </c>
      <c r="F60">
        <v>29.09</v>
      </c>
    </row>
    <row r="61" spans="1:6" x14ac:dyDescent="0.2">
      <c r="A61">
        <v>60</v>
      </c>
      <c r="B61" t="s">
        <v>3662</v>
      </c>
      <c r="D61" t="s">
        <v>3726</v>
      </c>
      <c r="E61" t="s">
        <v>3221</v>
      </c>
      <c r="F61">
        <v>29.09</v>
      </c>
    </row>
    <row r="62" spans="1:6" x14ac:dyDescent="0.2">
      <c r="A62">
        <v>61</v>
      </c>
      <c r="B62" t="s">
        <v>3662</v>
      </c>
      <c r="D62" t="s">
        <v>3727</v>
      </c>
      <c r="E62" t="s">
        <v>3221</v>
      </c>
      <c r="F62">
        <v>29.09</v>
      </c>
    </row>
    <row r="63" spans="1:6" x14ac:dyDescent="0.2">
      <c r="A63">
        <v>62</v>
      </c>
      <c r="B63" t="s">
        <v>3662</v>
      </c>
      <c r="D63" t="s">
        <v>3728</v>
      </c>
      <c r="E63" t="s">
        <v>3221</v>
      </c>
      <c r="F63">
        <v>29.09</v>
      </c>
    </row>
    <row r="64" spans="1:6" x14ac:dyDescent="0.2">
      <c r="A64">
        <v>63</v>
      </c>
      <c r="B64" t="s">
        <v>3662</v>
      </c>
      <c r="D64" t="s">
        <v>3729</v>
      </c>
      <c r="E64" t="s">
        <v>3221</v>
      </c>
      <c r="F64">
        <v>29.09</v>
      </c>
    </row>
    <row r="65" spans="1:6" x14ac:dyDescent="0.2">
      <c r="A65">
        <v>64</v>
      </c>
      <c r="B65" t="s">
        <v>3662</v>
      </c>
      <c r="D65" t="s">
        <v>3730</v>
      </c>
      <c r="E65" t="s">
        <v>3221</v>
      </c>
      <c r="F65">
        <v>29.09</v>
      </c>
    </row>
    <row r="66" spans="1:6" x14ac:dyDescent="0.2">
      <c r="A66">
        <v>65</v>
      </c>
      <c r="B66" t="s">
        <v>3662</v>
      </c>
      <c r="D66" t="s">
        <v>3731</v>
      </c>
      <c r="E66" t="s">
        <v>3221</v>
      </c>
      <c r="F66">
        <v>29.09</v>
      </c>
    </row>
    <row r="67" spans="1:6" x14ac:dyDescent="0.2">
      <c r="A67">
        <v>66</v>
      </c>
      <c r="B67" t="s">
        <v>3662</v>
      </c>
      <c r="D67" t="s">
        <v>3732</v>
      </c>
      <c r="E67" t="s">
        <v>3221</v>
      </c>
      <c r="F67">
        <v>29.09</v>
      </c>
    </row>
    <row r="68" spans="1:6" x14ac:dyDescent="0.2">
      <c r="A68">
        <v>67</v>
      </c>
      <c r="B68" t="s">
        <v>3662</v>
      </c>
      <c r="D68" t="s">
        <v>3733</v>
      </c>
      <c r="E68" t="s">
        <v>3221</v>
      </c>
      <c r="F68">
        <v>29.09</v>
      </c>
    </row>
    <row r="69" spans="1:6" x14ac:dyDescent="0.2">
      <c r="A69">
        <v>68</v>
      </c>
      <c r="B69" t="s">
        <v>3662</v>
      </c>
      <c r="D69" t="s">
        <v>3734</v>
      </c>
      <c r="E69" t="s">
        <v>3221</v>
      </c>
      <c r="F69">
        <v>29.09</v>
      </c>
    </row>
    <row r="70" spans="1:6" x14ac:dyDescent="0.2">
      <c r="A70">
        <v>69</v>
      </c>
      <c r="B70" t="s">
        <v>3662</v>
      </c>
      <c r="D70" t="s">
        <v>3735</v>
      </c>
      <c r="E70" t="s">
        <v>3221</v>
      </c>
      <c r="F70">
        <v>29.09</v>
      </c>
    </row>
    <row r="71" spans="1:6" x14ac:dyDescent="0.2">
      <c r="A71">
        <v>70</v>
      </c>
      <c r="B71" t="s">
        <v>3662</v>
      </c>
      <c r="D71" t="s">
        <v>3736</v>
      </c>
      <c r="E71" t="s">
        <v>3221</v>
      </c>
      <c r="F71">
        <v>29.09</v>
      </c>
    </row>
    <row r="72" spans="1:6" x14ac:dyDescent="0.2">
      <c r="A72">
        <v>71</v>
      </c>
      <c r="B72" t="s">
        <v>3662</v>
      </c>
      <c r="D72" t="s">
        <v>3737</v>
      </c>
      <c r="E72" t="s">
        <v>3221</v>
      </c>
      <c r="F72">
        <v>29.09</v>
      </c>
    </row>
    <row r="73" spans="1:6" x14ac:dyDescent="0.2">
      <c r="A73">
        <v>72</v>
      </c>
      <c r="B73" t="s">
        <v>3662</v>
      </c>
      <c r="D73" t="s">
        <v>3738</v>
      </c>
      <c r="E73" t="s">
        <v>3221</v>
      </c>
      <c r="F73">
        <v>29.09</v>
      </c>
    </row>
    <row r="74" spans="1:6" x14ac:dyDescent="0.2">
      <c r="A74">
        <v>73</v>
      </c>
      <c r="B74" t="s">
        <v>3662</v>
      </c>
      <c r="D74" t="s">
        <v>3739</v>
      </c>
      <c r="E74" t="s">
        <v>3221</v>
      </c>
      <c r="F74">
        <v>29.09</v>
      </c>
    </row>
    <row r="75" spans="1:6" x14ac:dyDescent="0.2">
      <c r="A75">
        <v>74</v>
      </c>
      <c r="B75" t="s">
        <v>3662</v>
      </c>
      <c r="D75" t="s">
        <v>3740</v>
      </c>
      <c r="E75" t="s">
        <v>3221</v>
      </c>
      <c r="F75">
        <v>29.09</v>
      </c>
    </row>
    <row r="76" spans="1:6" x14ac:dyDescent="0.2">
      <c r="A76">
        <v>75</v>
      </c>
      <c r="B76" t="s">
        <v>3662</v>
      </c>
      <c r="D76" t="s">
        <v>3741</v>
      </c>
      <c r="E76" t="s">
        <v>3221</v>
      </c>
      <c r="F76">
        <v>29.09</v>
      </c>
    </row>
    <row r="77" spans="1:6" x14ac:dyDescent="0.2">
      <c r="A77">
        <v>76</v>
      </c>
      <c r="B77" t="s">
        <v>3662</v>
      </c>
      <c r="D77" t="s">
        <v>3742</v>
      </c>
      <c r="E77" t="s">
        <v>3221</v>
      </c>
      <c r="F77">
        <v>29.09</v>
      </c>
    </row>
    <row r="78" spans="1:6" x14ac:dyDescent="0.2">
      <c r="A78">
        <v>77</v>
      </c>
      <c r="B78" t="s">
        <v>3662</v>
      </c>
      <c r="D78" t="s">
        <v>3743</v>
      </c>
      <c r="E78" t="s">
        <v>3221</v>
      </c>
      <c r="F78">
        <v>29.09</v>
      </c>
    </row>
    <row r="79" spans="1:6" x14ac:dyDescent="0.2">
      <c r="A79">
        <v>78</v>
      </c>
      <c r="B79" t="s">
        <v>3662</v>
      </c>
      <c r="D79" t="s">
        <v>3744</v>
      </c>
      <c r="E79" t="s">
        <v>3221</v>
      </c>
      <c r="F79">
        <v>29.09</v>
      </c>
    </row>
    <row r="80" spans="1:6" x14ac:dyDescent="0.2">
      <c r="A80">
        <v>79</v>
      </c>
      <c r="B80" t="s">
        <v>3662</v>
      </c>
      <c r="D80" t="s">
        <v>3745</v>
      </c>
      <c r="E80" t="s">
        <v>3221</v>
      </c>
      <c r="F80">
        <v>29.09</v>
      </c>
    </row>
    <row r="81" spans="1:6" x14ac:dyDescent="0.2">
      <c r="A81">
        <v>80</v>
      </c>
      <c r="B81" t="s">
        <v>3662</v>
      </c>
      <c r="D81" t="s">
        <v>3746</v>
      </c>
      <c r="E81" t="s">
        <v>3221</v>
      </c>
      <c r="F81">
        <v>29.09</v>
      </c>
    </row>
    <row r="82" spans="1:6" x14ac:dyDescent="0.2">
      <c r="A82">
        <v>81</v>
      </c>
      <c r="B82" t="s">
        <v>3662</v>
      </c>
      <c r="D82" t="s">
        <v>3747</v>
      </c>
      <c r="E82" t="s">
        <v>3221</v>
      </c>
      <c r="F82">
        <v>29.09</v>
      </c>
    </row>
    <row r="83" spans="1:6" x14ac:dyDescent="0.2">
      <c r="A83">
        <v>82</v>
      </c>
      <c r="B83" t="s">
        <v>3662</v>
      </c>
      <c r="D83" t="s">
        <v>3748</v>
      </c>
      <c r="E83" t="s">
        <v>3221</v>
      </c>
      <c r="F83">
        <v>29.09</v>
      </c>
    </row>
    <row r="84" spans="1:6" x14ac:dyDescent="0.2">
      <c r="A84">
        <v>83</v>
      </c>
      <c r="B84" t="s">
        <v>3662</v>
      </c>
      <c r="D84" t="s">
        <v>3749</v>
      </c>
      <c r="E84" t="s">
        <v>3221</v>
      </c>
      <c r="F84">
        <v>29.09</v>
      </c>
    </row>
    <row r="85" spans="1:6" x14ac:dyDescent="0.2">
      <c r="A85">
        <v>84</v>
      </c>
      <c r="B85" t="s">
        <v>3662</v>
      </c>
      <c r="D85" t="s">
        <v>3750</v>
      </c>
      <c r="E85" t="s">
        <v>3221</v>
      </c>
      <c r="F85">
        <v>29.09</v>
      </c>
    </row>
    <row r="86" spans="1:6" x14ac:dyDescent="0.2">
      <c r="A86">
        <v>85</v>
      </c>
      <c r="B86" t="s">
        <v>3662</v>
      </c>
      <c r="D86" t="s">
        <v>3751</v>
      </c>
      <c r="E86" t="s">
        <v>3221</v>
      </c>
      <c r="F86">
        <v>29.09</v>
      </c>
    </row>
    <row r="87" spans="1:6" x14ac:dyDescent="0.2">
      <c r="A87">
        <v>86</v>
      </c>
      <c r="B87" t="s">
        <v>3662</v>
      </c>
      <c r="D87" t="s">
        <v>3752</v>
      </c>
      <c r="E87" t="s">
        <v>3221</v>
      </c>
      <c r="F87">
        <v>29.09</v>
      </c>
    </row>
    <row r="88" spans="1:6" x14ac:dyDescent="0.2">
      <c r="A88">
        <v>87</v>
      </c>
      <c r="B88" t="s">
        <v>3662</v>
      </c>
      <c r="D88" t="s">
        <v>3753</v>
      </c>
      <c r="E88" t="s">
        <v>3221</v>
      </c>
      <c r="F88">
        <v>29.09</v>
      </c>
    </row>
    <row r="89" spans="1:6" x14ac:dyDescent="0.2">
      <c r="A89">
        <v>88</v>
      </c>
      <c r="B89" t="s">
        <v>3662</v>
      </c>
      <c r="D89" t="s">
        <v>3754</v>
      </c>
      <c r="E89" t="s">
        <v>3221</v>
      </c>
      <c r="F89">
        <v>29.09</v>
      </c>
    </row>
    <row r="90" spans="1:6" x14ac:dyDescent="0.2">
      <c r="A90">
        <v>89</v>
      </c>
      <c r="B90" t="s">
        <v>3662</v>
      </c>
      <c r="D90" t="s">
        <v>3755</v>
      </c>
      <c r="E90" t="s">
        <v>3221</v>
      </c>
      <c r="F90">
        <v>29.09</v>
      </c>
    </row>
    <row r="91" spans="1:6" x14ac:dyDescent="0.2">
      <c r="A91">
        <v>90</v>
      </c>
      <c r="B91" t="s">
        <v>3662</v>
      </c>
      <c r="D91" t="s">
        <v>3756</v>
      </c>
      <c r="E91" t="s">
        <v>3221</v>
      </c>
      <c r="F91">
        <v>29.09</v>
      </c>
    </row>
    <row r="92" spans="1:6" x14ac:dyDescent="0.2">
      <c r="A92">
        <v>91</v>
      </c>
      <c r="B92" t="s">
        <v>3662</v>
      </c>
      <c r="D92" t="s">
        <v>3757</v>
      </c>
      <c r="E92" t="s">
        <v>3221</v>
      </c>
      <c r="F92">
        <v>29.09</v>
      </c>
    </row>
    <row r="93" spans="1:6" x14ac:dyDescent="0.2">
      <c r="A93">
        <v>92</v>
      </c>
      <c r="B93" t="s">
        <v>3662</v>
      </c>
      <c r="D93" t="s">
        <v>3758</v>
      </c>
      <c r="E93" t="s">
        <v>3221</v>
      </c>
      <c r="F93">
        <v>29.09</v>
      </c>
    </row>
    <row r="94" spans="1:6" x14ac:dyDescent="0.2">
      <c r="A94">
        <v>93</v>
      </c>
      <c r="B94" t="s">
        <v>3662</v>
      </c>
      <c r="D94" t="s">
        <v>3759</v>
      </c>
      <c r="E94" t="s">
        <v>3221</v>
      </c>
      <c r="F94">
        <v>29.09</v>
      </c>
    </row>
    <row r="95" spans="1:6" x14ac:dyDescent="0.2">
      <c r="A95">
        <v>94</v>
      </c>
      <c r="B95" t="s">
        <v>3662</v>
      </c>
      <c r="D95" t="s">
        <v>3760</v>
      </c>
      <c r="E95" t="s">
        <v>3221</v>
      </c>
      <c r="F95">
        <v>29.09</v>
      </c>
    </row>
    <row r="96" spans="1:6" x14ac:dyDescent="0.2">
      <c r="A96">
        <v>95</v>
      </c>
      <c r="B96" t="s">
        <v>3662</v>
      </c>
      <c r="D96" t="s">
        <v>3761</v>
      </c>
      <c r="E96" t="s">
        <v>3221</v>
      </c>
      <c r="F96">
        <v>29.09</v>
      </c>
    </row>
    <row r="97" spans="1:6" x14ac:dyDescent="0.2">
      <c r="A97">
        <v>96</v>
      </c>
      <c r="B97" t="s">
        <v>3662</v>
      </c>
      <c r="D97" t="s">
        <v>3762</v>
      </c>
      <c r="E97" t="s">
        <v>3221</v>
      </c>
      <c r="F97">
        <v>29.09</v>
      </c>
    </row>
    <row r="98" spans="1:6" x14ac:dyDescent="0.2">
      <c r="A98">
        <v>97</v>
      </c>
      <c r="B98" t="s">
        <v>3662</v>
      </c>
      <c r="D98" t="s">
        <v>3763</v>
      </c>
      <c r="E98" t="s">
        <v>3221</v>
      </c>
      <c r="F98">
        <v>29.09</v>
      </c>
    </row>
    <row r="99" spans="1:6" x14ac:dyDescent="0.2">
      <c r="A99">
        <v>98</v>
      </c>
      <c r="B99" t="s">
        <v>3662</v>
      </c>
      <c r="D99" t="s">
        <v>3764</v>
      </c>
      <c r="E99" t="s">
        <v>3221</v>
      </c>
      <c r="F99">
        <v>29.09</v>
      </c>
    </row>
    <row r="100" spans="1:6" x14ac:dyDescent="0.2">
      <c r="A100">
        <v>99</v>
      </c>
      <c r="B100" t="s">
        <v>3662</v>
      </c>
      <c r="D100" t="s">
        <v>3765</v>
      </c>
      <c r="E100" t="s">
        <v>3221</v>
      </c>
      <c r="F100">
        <v>29.09</v>
      </c>
    </row>
    <row r="101" spans="1:6" x14ac:dyDescent="0.2">
      <c r="A101">
        <v>100</v>
      </c>
      <c r="B101" t="s">
        <v>3662</v>
      </c>
      <c r="D101" t="s">
        <v>3766</v>
      </c>
      <c r="E101" t="s">
        <v>3221</v>
      </c>
      <c r="F101">
        <v>29.09</v>
      </c>
    </row>
    <row r="102" spans="1:6" x14ac:dyDescent="0.2">
      <c r="A102">
        <v>101</v>
      </c>
      <c r="B102" t="s">
        <v>3662</v>
      </c>
      <c r="D102" t="s">
        <v>3767</v>
      </c>
      <c r="E102" t="s">
        <v>3221</v>
      </c>
      <c r="F102">
        <v>29.09</v>
      </c>
    </row>
    <row r="103" spans="1:6" x14ac:dyDescent="0.2">
      <c r="A103">
        <v>102</v>
      </c>
      <c r="B103" t="s">
        <v>3662</v>
      </c>
      <c r="D103" t="s">
        <v>3768</v>
      </c>
      <c r="E103" t="s">
        <v>3221</v>
      </c>
      <c r="F103">
        <v>29.09</v>
      </c>
    </row>
    <row r="104" spans="1:6" x14ac:dyDescent="0.2">
      <c r="A104">
        <v>103</v>
      </c>
      <c r="B104" t="s">
        <v>3662</v>
      </c>
      <c r="D104" t="s">
        <v>3769</v>
      </c>
      <c r="E104" t="s">
        <v>3221</v>
      </c>
      <c r="F104">
        <v>29.09</v>
      </c>
    </row>
    <row r="105" spans="1:6" x14ac:dyDescent="0.2">
      <c r="A105">
        <v>104</v>
      </c>
      <c r="B105" t="s">
        <v>3662</v>
      </c>
      <c r="D105" t="s">
        <v>3770</v>
      </c>
      <c r="E105" t="s">
        <v>3221</v>
      </c>
      <c r="F105">
        <v>29.09</v>
      </c>
    </row>
    <row r="106" spans="1:6" x14ac:dyDescent="0.2">
      <c r="A106">
        <v>105</v>
      </c>
      <c r="B106" t="s">
        <v>3662</v>
      </c>
      <c r="D106" t="s">
        <v>3771</v>
      </c>
      <c r="E106" t="s">
        <v>3221</v>
      </c>
      <c r="F106">
        <v>29.09</v>
      </c>
    </row>
    <row r="107" spans="1:6" x14ac:dyDescent="0.2">
      <c r="A107">
        <v>106</v>
      </c>
      <c r="B107" t="s">
        <v>3662</v>
      </c>
      <c r="D107" t="s">
        <v>3772</v>
      </c>
      <c r="E107" t="s">
        <v>3221</v>
      </c>
      <c r="F107">
        <v>29.09</v>
      </c>
    </row>
    <row r="108" spans="1:6" x14ac:dyDescent="0.2">
      <c r="A108">
        <v>107</v>
      </c>
      <c r="B108" t="s">
        <v>3662</v>
      </c>
      <c r="D108" t="s">
        <v>3773</v>
      </c>
      <c r="E108" t="s">
        <v>3221</v>
      </c>
      <c r="F108">
        <v>29.09</v>
      </c>
    </row>
    <row r="109" spans="1:6" x14ac:dyDescent="0.2">
      <c r="A109">
        <v>108</v>
      </c>
      <c r="B109" t="s">
        <v>3662</v>
      </c>
      <c r="D109" t="s">
        <v>3774</v>
      </c>
      <c r="E109" t="s">
        <v>3221</v>
      </c>
      <c r="F109">
        <v>29.09</v>
      </c>
    </row>
    <row r="110" spans="1:6" x14ac:dyDescent="0.2">
      <c r="A110">
        <v>109</v>
      </c>
      <c r="B110" t="s">
        <v>3662</v>
      </c>
      <c r="D110" t="s">
        <v>3775</v>
      </c>
      <c r="E110" t="s">
        <v>3221</v>
      </c>
      <c r="F110">
        <v>29.09</v>
      </c>
    </row>
    <row r="111" spans="1:6" x14ac:dyDescent="0.2">
      <c r="A111">
        <v>110</v>
      </c>
      <c r="B111" t="s">
        <v>3662</v>
      </c>
      <c r="D111" t="s">
        <v>3776</v>
      </c>
      <c r="E111" t="s">
        <v>3221</v>
      </c>
      <c r="F111">
        <v>29.09</v>
      </c>
    </row>
    <row r="112" spans="1:6" x14ac:dyDescent="0.2">
      <c r="A112">
        <v>111</v>
      </c>
      <c r="B112" t="s">
        <v>3662</v>
      </c>
      <c r="D112" t="s">
        <v>3777</v>
      </c>
      <c r="E112" t="s">
        <v>3221</v>
      </c>
      <c r="F112">
        <v>29.09</v>
      </c>
    </row>
    <row r="113" spans="1:6" x14ac:dyDescent="0.2">
      <c r="A113">
        <v>112</v>
      </c>
      <c r="B113" t="s">
        <v>3662</v>
      </c>
      <c r="D113" t="s">
        <v>3778</v>
      </c>
      <c r="E113" t="s">
        <v>3221</v>
      </c>
      <c r="F113">
        <v>29.09</v>
      </c>
    </row>
    <row r="114" spans="1:6" x14ac:dyDescent="0.2">
      <c r="A114">
        <v>113</v>
      </c>
      <c r="B114" t="s">
        <v>3662</v>
      </c>
      <c r="D114" t="s">
        <v>3779</v>
      </c>
      <c r="E114" t="s">
        <v>3221</v>
      </c>
      <c r="F114">
        <v>29.09</v>
      </c>
    </row>
    <row r="115" spans="1:6" x14ac:dyDescent="0.2">
      <c r="A115">
        <v>114</v>
      </c>
      <c r="B115" t="s">
        <v>3662</v>
      </c>
      <c r="D115" t="s">
        <v>3780</v>
      </c>
      <c r="E115" t="s">
        <v>3221</v>
      </c>
      <c r="F115">
        <v>29.09</v>
      </c>
    </row>
    <row r="116" spans="1:6" x14ac:dyDescent="0.2">
      <c r="A116">
        <v>115</v>
      </c>
      <c r="B116" t="s">
        <v>3662</v>
      </c>
      <c r="D116" t="s">
        <v>3781</v>
      </c>
      <c r="E116" t="s">
        <v>3221</v>
      </c>
      <c r="F116">
        <v>29.09</v>
      </c>
    </row>
    <row r="117" spans="1:6" x14ac:dyDescent="0.2">
      <c r="A117">
        <v>116</v>
      </c>
      <c r="B117" t="s">
        <v>3662</v>
      </c>
      <c r="D117" t="s">
        <v>3782</v>
      </c>
      <c r="E117" t="s">
        <v>3221</v>
      </c>
      <c r="F117">
        <v>29.09</v>
      </c>
    </row>
    <row r="118" spans="1:6" x14ac:dyDescent="0.2">
      <c r="A118">
        <v>117</v>
      </c>
      <c r="B118" t="s">
        <v>3662</v>
      </c>
      <c r="D118" t="s">
        <v>3783</v>
      </c>
      <c r="E118" t="s">
        <v>3221</v>
      </c>
      <c r="F118">
        <v>29.09</v>
      </c>
    </row>
    <row r="119" spans="1:6" x14ac:dyDescent="0.2">
      <c r="A119">
        <v>118</v>
      </c>
      <c r="B119" t="s">
        <v>3662</v>
      </c>
      <c r="D119" t="s">
        <v>3784</v>
      </c>
      <c r="E119" t="s">
        <v>3221</v>
      </c>
      <c r="F119">
        <v>29.09</v>
      </c>
    </row>
    <row r="120" spans="1:6" x14ac:dyDescent="0.2">
      <c r="A120">
        <v>119</v>
      </c>
      <c r="B120" t="s">
        <v>3662</v>
      </c>
      <c r="D120" t="s">
        <v>3785</v>
      </c>
      <c r="E120" t="s">
        <v>3221</v>
      </c>
      <c r="F120">
        <v>29.09</v>
      </c>
    </row>
    <row r="121" spans="1:6" x14ac:dyDescent="0.2">
      <c r="A121">
        <v>120</v>
      </c>
      <c r="B121" t="s">
        <v>3662</v>
      </c>
      <c r="D121" t="s">
        <v>3786</v>
      </c>
      <c r="E121" t="s">
        <v>3221</v>
      </c>
      <c r="F121">
        <v>29.09</v>
      </c>
    </row>
    <row r="122" spans="1:6" x14ac:dyDescent="0.2">
      <c r="A122">
        <v>121</v>
      </c>
      <c r="B122" t="s">
        <v>3662</v>
      </c>
      <c r="D122" t="s">
        <v>3787</v>
      </c>
      <c r="E122" t="s">
        <v>3221</v>
      </c>
      <c r="F122">
        <v>29.09</v>
      </c>
    </row>
    <row r="123" spans="1:6" x14ac:dyDescent="0.2">
      <c r="A123">
        <v>122</v>
      </c>
      <c r="B123" t="s">
        <v>3662</v>
      </c>
      <c r="D123" t="s">
        <v>3788</v>
      </c>
      <c r="E123" t="s">
        <v>3221</v>
      </c>
      <c r="F123">
        <v>29.09</v>
      </c>
    </row>
    <row r="124" spans="1:6" x14ac:dyDescent="0.2">
      <c r="A124">
        <v>123</v>
      </c>
      <c r="B124" t="s">
        <v>3662</v>
      </c>
      <c r="D124" t="s">
        <v>3789</v>
      </c>
      <c r="E124" t="s">
        <v>3221</v>
      </c>
      <c r="F124">
        <v>29.09</v>
      </c>
    </row>
    <row r="125" spans="1:6" x14ac:dyDescent="0.2">
      <c r="A125">
        <v>124</v>
      </c>
      <c r="B125" t="s">
        <v>3662</v>
      </c>
      <c r="D125" t="s">
        <v>3790</v>
      </c>
      <c r="E125" t="s">
        <v>3221</v>
      </c>
      <c r="F125">
        <v>29.09</v>
      </c>
    </row>
    <row r="126" spans="1:6" x14ac:dyDescent="0.2">
      <c r="A126">
        <v>125</v>
      </c>
      <c r="B126" t="s">
        <v>3662</v>
      </c>
      <c r="D126" t="s">
        <v>3791</v>
      </c>
      <c r="E126" t="s">
        <v>3221</v>
      </c>
      <c r="F126">
        <v>29.09</v>
      </c>
    </row>
    <row r="127" spans="1:6" x14ac:dyDescent="0.2">
      <c r="A127">
        <v>126</v>
      </c>
      <c r="B127" t="s">
        <v>3662</v>
      </c>
      <c r="D127" t="s">
        <v>3792</v>
      </c>
      <c r="E127" t="s">
        <v>3221</v>
      </c>
      <c r="F127">
        <v>29.09</v>
      </c>
    </row>
    <row r="128" spans="1:6" x14ac:dyDescent="0.2">
      <c r="A128">
        <v>127</v>
      </c>
      <c r="B128" t="s">
        <v>3662</v>
      </c>
      <c r="D128" t="s">
        <v>3793</v>
      </c>
      <c r="E128" t="s">
        <v>3221</v>
      </c>
      <c r="F128">
        <v>29.09</v>
      </c>
    </row>
    <row r="129" spans="1:6" x14ac:dyDescent="0.2">
      <c r="A129">
        <v>128</v>
      </c>
      <c r="B129" t="s">
        <v>3662</v>
      </c>
      <c r="D129" t="s">
        <v>3794</v>
      </c>
      <c r="E129" t="s">
        <v>3221</v>
      </c>
      <c r="F129">
        <v>29.09</v>
      </c>
    </row>
    <row r="130" spans="1:6" x14ac:dyDescent="0.2">
      <c r="A130">
        <v>129</v>
      </c>
      <c r="B130" t="s">
        <v>3662</v>
      </c>
      <c r="D130" t="s">
        <v>3795</v>
      </c>
      <c r="E130" t="s">
        <v>3221</v>
      </c>
      <c r="F130">
        <v>29.09</v>
      </c>
    </row>
    <row r="131" spans="1:6" x14ac:dyDescent="0.2">
      <c r="A131">
        <v>130</v>
      </c>
      <c r="B131" t="s">
        <v>3662</v>
      </c>
      <c r="D131" t="s">
        <v>3796</v>
      </c>
      <c r="E131" t="s">
        <v>3221</v>
      </c>
      <c r="F131">
        <v>29.09</v>
      </c>
    </row>
    <row r="132" spans="1:6" x14ac:dyDescent="0.2">
      <c r="A132">
        <v>131</v>
      </c>
      <c r="B132" t="s">
        <v>3662</v>
      </c>
      <c r="D132" t="s">
        <v>3797</v>
      </c>
      <c r="E132" t="s">
        <v>3221</v>
      </c>
      <c r="F132">
        <v>29.09</v>
      </c>
    </row>
    <row r="133" spans="1:6" x14ac:dyDescent="0.2">
      <c r="A133">
        <v>132</v>
      </c>
      <c r="B133" t="s">
        <v>3662</v>
      </c>
      <c r="D133" t="s">
        <v>3798</v>
      </c>
      <c r="E133" t="s">
        <v>3221</v>
      </c>
      <c r="F133">
        <v>29.09</v>
      </c>
    </row>
    <row r="134" spans="1:6" x14ac:dyDescent="0.2">
      <c r="A134">
        <v>133</v>
      </c>
      <c r="B134" t="s">
        <v>3662</v>
      </c>
      <c r="D134" t="s">
        <v>3799</v>
      </c>
      <c r="E134" t="s">
        <v>3221</v>
      </c>
      <c r="F134">
        <v>29.09</v>
      </c>
    </row>
    <row r="135" spans="1:6" x14ac:dyDescent="0.2">
      <c r="A135">
        <v>134</v>
      </c>
      <c r="B135" t="s">
        <v>3662</v>
      </c>
      <c r="D135" t="s">
        <v>3800</v>
      </c>
      <c r="E135" t="s">
        <v>3221</v>
      </c>
      <c r="F135">
        <v>29.09</v>
      </c>
    </row>
    <row r="136" spans="1:6" x14ac:dyDescent="0.2">
      <c r="A136">
        <v>135</v>
      </c>
      <c r="B136" t="s">
        <v>3662</v>
      </c>
      <c r="D136" t="s">
        <v>3801</v>
      </c>
      <c r="E136" t="s">
        <v>3221</v>
      </c>
      <c r="F136">
        <v>29.09</v>
      </c>
    </row>
    <row r="137" spans="1:6" x14ac:dyDescent="0.2">
      <c r="A137">
        <v>136</v>
      </c>
      <c r="B137" t="s">
        <v>3662</v>
      </c>
      <c r="D137" t="s">
        <v>3802</v>
      </c>
      <c r="E137" t="s">
        <v>3221</v>
      </c>
      <c r="F137">
        <v>29.09</v>
      </c>
    </row>
    <row r="138" spans="1:6" x14ac:dyDescent="0.2">
      <c r="A138">
        <v>137</v>
      </c>
      <c r="B138" t="s">
        <v>3662</v>
      </c>
      <c r="D138" t="s">
        <v>3803</v>
      </c>
      <c r="E138" t="s">
        <v>3221</v>
      </c>
      <c r="F138">
        <v>29.09</v>
      </c>
    </row>
    <row r="139" spans="1:6" x14ac:dyDescent="0.2">
      <c r="A139">
        <v>138</v>
      </c>
      <c r="B139" t="s">
        <v>3662</v>
      </c>
      <c r="D139" t="s">
        <v>3804</v>
      </c>
      <c r="E139" t="s">
        <v>3221</v>
      </c>
      <c r="F139">
        <v>29.09</v>
      </c>
    </row>
    <row r="140" spans="1:6" x14ac:dyDescent="0.2">
      <c r="A140">
        <v>139</v>
      </c>
      <c r="B140" t="s">
        <v>3662</v>
      </c>
      <c r="D140" t="s">
        <v>3805</v>
      </c>
      <c r="E140" t="s">
        <v>3221</v>
      </c>
      <c r="F140">
        <v>29.09</v>
      </c>
    </row>
    <row r="141" spans="1:6" x14ac:dyDescent="0.2">
      <c r="A141">
        <v>140</v>
      </c>
      <c r="B141" t="s">
        <v>3662</v>
      </c>
      <c r="D141" t="s">
        <v>3806</v>
      </c>
      <c r="E141" t="s">
        <v>3221</v>
      </c>
      <c r="F141">
        <v>29.09</v>
      </c>
    </row>
    <row r="142" spans="1:6" x14ac:dyDescent="0.2">
      <c r="A142">
        <v>141</v>
      </c>
      <c r="B142" t="s">
        <v>3662</v>
      </c>
      <c r="D142" t="s">
        <v>3807</v>
      </c>
      <c r="E142" t="s">
        <v>3221</v>
      </c>
      <c r="F142">
        <v>29.09</v>
      </c>
    </row>
    <row r="143" spans="1:6" x14ac:dyDescent="0.2">
      <c r="A143">
        <v>142</v>
      </c>
      <c r="B143" t="s">
        <v>3662</v>
      </c>
      <c r="D143" t="s">
        <v>3808</v>
      </c>
      <c r="E143" t="s">
        <v>3221</v>
      </c>
      <c r="F143">
        <v>29.09</v>
      </c>
    </row>
    <row r="144" spans="1:6" x14ac:dyDescent="0.2">
      <c r="A144">
        <v>143</v>
      </c>
      <c r="B144" t="s">
        <v>3662</v>
      </c>
      <c r="D144" t="s">
        <v>3809</v>
      </c>
      <c r="E144" t="s">
        <v>3221</v>
      </c>
      <c r="F144">
        <v>29.09</v>
      </c>
    </row>
    <row r="145" spans="1:6" x14ac:dyDescent="0.2">
      <c r="A145">
        <v>144</v>
      </c>
      <c r="B145" t="s">
        <v>3662</v>
      </c>
      <c r="D145" t="s">
        <v>3810</v>
      </c>
      <c r="E145" t="s">
        <v>3221</v>
      </c>
      <c r="F145">
        <v>29.09</v>
      </c>
    </row>
    <row r="146" spans="1:6" x14ac:dyDescent="0.2">
      <c r="A146">
        <v>145</v>
      </c>
      <c r="B146" t="s">
        <v>3662</v>
      </c>
      <c r="D146" t="s">
        <v>3811</v>
      </c>
      <c r="E146" t="s">
        <v>3221</v>
      </c>
      <c r="F146">
        <v>29.09</v>
      </c>
    </row>
    <row r="147" spans="1:6" x14ac:dyDescent="0.2">
      <c r="A147">
        <v>146</v>
      </c>
      <c r="B147" t="s">
        <v>3662</v>
      </c>
      <c r="D147" t="s">
        <v>3812</v>
      </c>
      <c r="E147" t="s">
        <v>3221</v>
      </c>
      <c r="F147">
        <v>29.09</v>
      </c>
    </row>
    <row r="148" spans="1:6" x14ac:dyDescent="0.2">
      <c r="A148">
        <v>147</v>
      </c>
      <c r="B148" t="s">
        <v>3662</v>
      </c>
      <c r="D148" t="s">
        <v>3813</v>
      </c>
      <c r="E148" t="s">
        <v>3221</v>
      </c>
      <c r="F148">
        <v>29.09</v>
      </c>
    </row>
    <row r="149" spans="1:6" x14ac:dyDescent="0.2">
      <c r="A149">
        <v>148</v>
      </c>
      <c r="B149" t="s">
        <v>3662</v>
      </c>
      <c r="D149" t="s">
        <v>3814</v>
      </c>
      <c r="E149" t="s">
        <v>3221</v>
      </c>
      <c r="F149">
        <v>29.09</v>
      </c>
    </row>
    <row r="150" spans="1:6" x14ac:dyDescent="0.2">
      <c r="A150">
        <v>149</v>
      </c>
      <c r="B150" t="s">
        <v>3662</v>
      </c>
      <c r="D150" t="s">
        <v>3815</v>
      </c>
      <c r="E150" t="s">
        <v>3221</v>
      </c>
      <c r="F150">
        <v>29.09</v>
      </c>
    </row>
    <row r="151" spans="1:6" x14ac:dyDescent="0.2">
      <c r="A151">
        <v>150</v>
      </c>
      <c r="B151" t="s">
        <v>3662</v>
      </c>
      <c r="D151" t="s">
        <v>3816</v>
      </c>
      <c r="E151" t="s">
        <v>3221</v>
      </c>
      <c r="F151">
        <v>29.09</v>
      </c>
    </row>
    <row r="152" spans="1:6" x14ac:dyDescent="0.2">
      <c r="A152">
        <v>151</v>
      </c>
      <c r="B152" t="s">
        <v>3662</v>
      </c>
      <c r="D152" t="s">
        <v>3817</v>
      </c>
      <c r="E152" t="s">
        <v>3221</v>
      </c>
      <c r="F152">
        <v>29.09</v>
      </c>
    </row>
    <row r="153" spans="1:6" x14ac:dyDescent="0.2">
      <c r="A153">
        <v>152</v>
      </c>
      <c r="B153" t="s">
        <v>3662</v>
      </c>
      <c r="D153" t="s">
        <v>3818</v>
      </c>
      <c r="E153" t="s">
        <v>3221</v>
      </c>
      <c r="F153">
        <v>29.09</v>
      </c>
    </row>
    <row r="154" spans="1:6" x14ac:dyDescent="0.2">
      <c r="A154">
        <v>153</v>
      </c>
      <c r="B154" t="s">
        <v>3662</v>
      </c>
      <c r="D154" t="s">
        <v>3819</v>
      </c>
      <c r="E154" t="s">
        <v>3221</v>
      </c>
      <c r="F154">
        <v>29.09</v>
      </c>
    </row>
    <row r="155" spans="1:6" x14ac:dyDescent="0.2">
      <c r="A155">
        <v>154</v>
      </c>
      <c r="B155" t="s">
        <v>3662</v>
      </c>
      <c r="D155" t="s">
        <v>3820</v>
      </c>
      <c r="E155" t="s">
        <v>3221</v>
      </c>
      <c r="F155">
        <v>29.09</v>
      </c>
    </row>
    <row r="156" spans="1:6" x14ac:dyDescent="0.2">
      <c r="A156">
        <v>155</v>
      </c>
      <c r="B156" t="s">
        <v>3662</v>
      </c>
      <c r="D156" t="s">
        <v>3821</v>
      </c>
      <c r="E156" t="s">
        <v>3221</v>
      </c>
      <c r="F156">
        <v>29.09</v>
      </c>
    </row>
    <row r="157" spans="1:6" x14ac:dyDescent="0.2">
      <c r="A157">
        <v>156</v>
      </c>
      <c r="B157" t="s">
        <v>3662</v>
      </c>
      <c r="D157" t="s">
        <v>3822</v>
      </c>
      <c r="E157" t="s">
        <v>3221</v>
      </c>
      <c r="F157">
        <v>29.09</v>
      </c>
    </row>
    <row r="158" spans="1:6" x14ac:dyDescent="0.2">
      <c r="A158">
        <v>157</v>
      </c>
      <c r="B158" t="s">
        <v>3662</v>
      </c>
      <c r="D158" t="s">
        <v>3823</v>
      </c>
      <c r="E158" t="s">
        <v>3221</v>
      </c>
      <c r="F158">
        <v>29.09</v>
      </c>
    </row>
    <row r="159" spans="1:6" x14ac:dyDescent="0.2">
      <c r="A159">
        <v>158</v>
      </c>
      <c r="B159" t="s">
        <v>3662</v>
      </c>
      <c r="D159" t="s">
        <v>3824</v>
      </c>
      <c r="E159" t="s">
        <v>3221</v>
      </c>
      <c r="F159">
        <v>29.09</v>
      </c>
    </row>
    <row r="160" spans="1:6" x14ac:dyDescent="0.2">
      <c r="A160">
        <v>159</v>
      </c>
      <c r="B160" t="s">
        <v>3662</v>
      </c>
      <c r="D160" t="s">
        <v>3825</v>
      </c>
      <c r="E160" t="s">
        <v>3221</v>
      </c>
      <c r="F160">
        <v>29.09</v>
      </c>
    </row>
    <row r="161" spans="1:6" x14ac:dyDescent="0.2">
      <c r="A161">
        <v>160</v>
      </c>
      <c r="B161" t="s">
        <v>3662</v>
      </c>
      <c r="D161" t="s">
        <v>3826</v>
      </c>
      <c r="E161" t="s">
        <v>3221</v>
      </c>
      <c r="F161">
        <v>29.09</v>
      </c>
    </row>
    <row r="162" spans="1:6" x14ac:dyDescent="0.2">
      <c r="A162">
        <v>161</v>
      </c>
      <c r="B162" t="s">
        <v>3662</v>
      </c>
      <c r="D162" t="s">
        <v>3827</v>
      </c>
      <c r="E162" t="s">
        <v>3221</v>
      </c>
      <c r="F162">
        <v>29.09</v>
      </c>
    </row>
    <row r="163" spans="1:6" x14ac:dyDescent="0.2">
      <c r="A163">
        <v>162</v>
      </c>
      <c r="B163" t="s">
        <v>3662</v>
      </c>
      <c r="D163" t="s">
        <v>3828</v>
      </c>
      <c r="E163" t="s">
        <v>3221</v>
      </c>
      <c r="F163">
        <v>29.09</v>
      </c>
    </row>
    <row r="164" spans="1:6" x14ac:dyDescent="0.2">
      <c r="A164">
        <v>163</v>
      </c>
      <c r="B164" t="s">
        <v>3662</v>
      </c>
      <c r="D164" t="s">
        <v>3829</v>
      </c>
      <c r="E164" t="s">
        <v>3221</v>
      </c>
      <c r="F164">
        <v>29.09</v>
      </c>
    </row>
    <row r="165" spans="1:6" x14ac:dyDescent="0.2">
      <c r="A165">
        <v>164</v>
      </c>
      <c r="B165" t="s">
        <v>3662</v>
      </c>
      <c r="D165" t="s">
        <v>3830</v>
      </c>
      <c r="E165" t="s">
        <v>3221</v>
      </c>
      <c r="F165">
        <v>29.09</v>
      </c>
    </row>
    <row r="166" spans="1:6" x14ac:dyDescent="0.2">
      <c r="A166">
        <v>165</v>
      </c>
      <c r="B166" t="s">
        <v>3662</v>
      </c>
      <c r="D166" t="s">
        <v>3831</v>
      </c>
      <c r="E166" t="s">
        <v>3221</v>
      </c>
      <c r="F166">
        <v>29.09</v>
      </c>
    </row>
    <row r="167" spans="1:6" x14ac:dyDescent="0.2">
      <c r="A167">
        <v>166</v>
      </c>
      <c r="B167" t="s">
        <v>3662</v>
      </c>
      <c r="D167" t="s">
        <v>3832</v>
      </c>
      <c r="E167" t="s">
        <v>3221</v>
      </c>
      <c r="F167">
        <v>29.09</v>
      </c>
    </row>
    <row r="168" spans="1:6" x14ac:dyDescent="0.2">
      <c r="A168">
        <v>167</v>
      </c>
      <c r="B168" t="s">
        <v>3662</v>
      </c>
      <c r="D168" t="s">
        <v>3833</v>
      </c>
      <c r="E168" t="s">
        <v>3221</v>
      </c>
      <c r="F168">
        <v>29.09</v>
      </c>
    </row>
    <row r="169" spans="1:6" x14ac:dyDescent="0.2">
      <c r="A169">
        <v>168</v>
      </c>
      <c r="B169" t="s">
        <v>3662</v>
      </c>
      <c r="D169" t="s">
        <v>3834</v>
      </c>
      <c r="E169" t="s">
        <v>3221</v>
      </c>
      <c r="F169">
        <v>29.09</v>
      </c>
    </row>
    <row r="170" spans="1:6" x14ac:dyDescent="0.2">
      <c r="A170">
        <v>169</v>
      </c>
      <c r="B170" t="s">
        <v>3662</v>
      </c>
      <c r="D170" t="s">
        <v>3835</v>
      </c>
      <c r="E170" t="s">
        <v>3221</v>
      </c>
      <c r="F170">
        <v>29.09</v>
      </c>
    </row>
    <row r="171" spans="1:6" x14ac:dyDescent="0.2">
      <c r="A171">
        <v>170</v>
      </c>
      <c r="B171" t="s">
        <v>3662</v>
      </c>
      <c r="D171" t="s">
        <v>3836</v>
      </c>
      <c r="E171" t="s">
        <v>3221</v>
      </c>
      <c r="F171">
        <v>29.09</v>
      </c>
    </row>
    <row r="172" spans="1:6" x14ac:dyDescent="0.2">
      <c r="A172">
        <v>171</v>
      </c>
      <c r="B172" t="s">
        <v>3662</v>
      </c>
      <c r="D172" t="s">
        <v>3837</v>
      </c>
      <c r="E172" t="s">
        <v>3221</v>
      </c>
      <c r="F172">
        <v>29.09</v>
      </c>
    </row>
    <row r="173" spans="1:6" x14ac:dyDescent="0.2">
      <c r="A173">
        <v>172</v>
      </c>
      <c r="B173" t="s">
        <v>3662</v>
      </c>
      <c r="D173" t="s">
        <v>3838</v>
      </c>
      <c r="E173" t="s">
        <v>3221</v>
      </c>
      <c r="F173">
        <v>29.09</v>
      </c>
    </row>
    <row r="174" spans="1:6" x14ac:dyDescent="0.2">
      <c r="A174">
        <v>173</v>
      </c>
      <c r="B174" t="s">
        <v>3662</v>
      </c>
      <c r="D174" t="s">
        <v>3839</v>
      </c>
      <c r="E174" t="s">
        <v>3221</v>
      </c>
      <c r="F174">
        <v>29.09</v>
      </c>
    </row>
    <row r="175" spans="1:6" x14ac:dyDescent="0.2">
      <c r="A175">
        <v>174</v>
      </c>
      <c r="B175" t="s">
        <v>3662</v>
      </c>
      <c r="D175" t="s">
        <v>3840</v>
      </c>
      <c r="E175" t="s">
        <v>3221</v>
      </c>
      <c r="F175">
        <v>29.09</v>
      </c>
    </row>
    <row r="176" spans="1:6" x14ac:dyDescent="0.2">
      <c r="A176">
        <v>175</v>
      </c>
      <c r="B176" t="s">
        <v>3662</v>
      </c>
      <c r="D176" t="s">
        <v>3841</v>
      </c>
      <c r="E176" t="s">
        <v>3221</v>
      </c>
      <c r="F176">
        <v>29.09</v>
      </c>
    </row>
    <row r="177" spans="1:6" x14ac:dyDescent="0.2">
      <c r="A177">
        <v>176</v>
      </c>
      <c r="B177" t="s">
        <v>3662</v>
      </c>
      <c r="D177" t="s">
        <v>3842</v>
      </c>
      <c r="E177" t="s">
        <v>3221</v>
      </c>
      <c r="F177">
        <v>29.09</v>
      </c>
    </row>
    <row r="178" spans="1:6" x14ac:dyDescent="0.2">
      <c r="A178">
        <v>177</v>
      </c>
      <c r="B178" t="s">
        <v>3662</v>
      </c>
      <c r="D178" t="s">
        <v>3843</v>
      </c>
      <c r="E178" t="s">
        <v>3221</v>
      </c>
      <c r="F178">
        <v>29.09</v>
      </c>
    </row>
    <row r="179" spans="1:6" x14ac:dyDescent="0.2">
      <c r="A179">
        <v>178</v>
      </c>
      <c r="B179" t="s">
        <v>3662</v>
      </c>
      <c r="D179" t="s">
        <v>3844</v>
      </c>
      <c r="E179" t="s">
        <v>3221</v>
      </c>
      <c r="F179">
        <v>29.09</v>
      </c>
    </row>
    <row r="180" spans="1:6" x14ac:dyDescent="0.2">
      <c r="A180">
        <v>179</v>
      </c>
      <c r="B180" t="s">
        <v>3662</v>
      </c>
      <c r="D180" t="s">
        <v>3845</v>
      </c>
      <c r="E180" t="s">
        <v>3221</v>
      </c>
      <c r="F180">
        <v>29.09</v>
      </c>
    </row>
    <row r="181" spans="1:6" x14ac:dyDescent="0.2">
      <c r="A181">
        <v>180</v>
      </c>
      <c r="B181" t="s">
        <v>3662</v>
      </c>
      <c r="D181" t="s">
        <v>3846</v>
      </c>
      <c r="E181" t="s">
        <v>3221</v>
      </c>
      <c r="F181">
        <v>29.09</v>
      </c>
    </row>
    <row r="182" spans="1:6" x14ac:dyDescent="0.2">
      <c r="A182">
        <v>181</v>
      </c>
      <c r="B182" t="s">
        <v>3662</v>
      </c>
      <c r="D182" t="s">
        <v>3847</v>
      </c>
      <c r="E182" t="s">
        <v>3221</v>
      </c>
      <c r="F182">
        <v>29.09</v>
      </c>
    </row>
    <row r="183" spans="1:6" x14ac:dyDescent="0.2">
      <c r="A183">
        <v>182</v>
      </c>
      <c r="B183" t="s">
        <v>3662</v>
      </c>
      <c r="D183" t="s">
        <v>3848</v>
      </c>
      <c r="E183" t="s">
        <v>3221</v>
      </c>
      <c r="F183">
        <v>29.09</v>
      </c>
    </row>
    <row r="184" spans="1:6" x14ac:dyDescent="0.2">
      <c r="A184">
        <v>183</v>
      </c>
      <c r="B184" t="s">
        <v>3662</v>
      </c>
      <c r="D184" t="s">
        <v>3849</v>
      </c>
      <c r="E184" t="s">
        <v>3221</v>
      </c>
      <c r="F184">
        <v>29.09</v>
      </c>
    </row>
    <row r="185" spans="1:6" x14ac:dyDescent="0.2">
      <c r="A185">
        <v>184</v>
      </c>
      <c r="B185" t="s">
        <v>3662</v>
      </c>
      <c r="D185" t="s">
        <v>3850</v>
      </c>
      <c r="E185" t="s">
        <v>3221</v>
      </c>
      <c r="F185">
        <v>29.09</v>
      </c>
    </row>
    <row r="186" spans="1:6" x14ac:dyDescent="0.2">
      <c r="A186">
        <v>185</v>
      </c>
      <c r="B186" t="s">
        <v>3662</v>
      </c>
      <c r="D186" t="s">
        <v>3851</v>
      </c>
      <c r="E186" t="s">
        <v>3221</v>
      </c>
      <c r="F186">
        <v>29.09</v>
      </c>
    </row>
    <row r="187" spans="1:6" x14ac:dyDescent="0.2">
      <c r="A187">
        <v>186</v>
      </c>
      <c r="B187" t="s">
        <v>3662</v>
      </c>
      <c r="D187" t="s">
        <v>3852</v>
      </c>
      <c r="E187" t="s">
        <v>3221</v>
      </c>
      <c r="F187">
        <v>29.09</v>
      </c>
    </row>
    <row r="188" spans="1:6" x14ac:dyDescent="0.2">
      <c r="A188">
        <v>187</v>
      </c>
      <c r="B188" t="s">
        <v>3662</v>
      </c>
      <c r="D188" t="s">
        <v>3853</v>
      </c>
      <c r="E188" t="s">
        <v>3221</v>
      </c>
      <c r="F188">
        <v>29.09</v>
      </c>
    </row>
    <row r="189" spans="1:6" x14ac:dyDescent="0.2">
      <c r="A189">
        <v>188</v>
      </c>
      <c r="B189" t="s">
        <v>3662</v>
      </c>
      <c r="D189" t="s">
        <v>3854</v>
      </c>
      <c r="E189" t="s">
        <v>3221</v>
      </c>
      <c r="F189">
        <v>29.09</v>
      </c>
    </row>
    <row r="190" spans="1:6" x14ac:dyDescent="0.2">
      <c r="A190">
        <v>189</v>
      </c>
      <c r="B190" t="s">
        <v>3662</v>
      </c>
      <c r="D190" t="s">
        <v>3855</v>
      </c>
      <c r="E190" t="s">
        <v>3221</v>
      </c>
      <c r="F190">
        <v>29.09</v>
      </c>
    </row>
    <row r="191" spans="1:6" x14ac:dyDescent="0.2">
      <c r="A191">
        <v>190</v>
      </c>
      <c r="B191" t="s">
        <v>3662</v>
      </c>
      <c r="D191" t="s">
        <v>3856</v>
      </c>
      <c r="E191" t="s">
        <v>3221</v>
      </c>
      <c r="F191">
        <v>29.09</v>
      </c>
    </row>
    <row r="192" spans="1:6" x14ac:dyDescent="0.2">
      <c r="A192">
        <v>191</v>
      </c>
      <c r="B192" t="s">
        <v>3662</v>
      </c>
      <c r="D192" t="s">
        <v>3857</v>
      </c>
      <c r="E192" t="s">
        <v>3221</v>
      </c>
      <c r="F192">
        <v>29.09</v>
      </c>
    </row>
    <row r="193" spans="1:6" x14ac:dyDescent="0.2">
      <c r="A193">
        <v>192</v>
      </c>
      <c r="B193" t="s">
        <v>3662</v>
      </c>
      <c r="D193" t="s">
        <v>3858</v>
      </c>
      <c r="E193" t="s">
        <v>3221</v>
      </c>
      <c r="F193">
        <v>29.09</v>
      </c>
    </row>
    <row r="194" spans="1:6" x14ac:dyDescent="0.2">
      <c r="A194">
        <v>193</v>
      </c>
      <c r="B194" t="s">
        <v>3662</v>
      </c>
      <c r="D194" t="s">
        <v>3859</v>
      </c>
      <c r="E194" t="s">
        <v>3221</v>
      </c>
      <c r="F194">
        <v>29.09</v>
      </c>
    </row>
    <row r="195" spans="1:6" x14ac:dyDescent="0.2">
      <c r="A195">
        <v>194</v>
      </c>
      <c r="B195" t="s">
        <v>3662</v>
      </c>
      <c r="D195" t="s">
        <v>3860</v>
      </c>
      <c r="E195" t="s">
        <v>3221</v>
      </c>
      <c r="F195">
        <v>29.09</v>
      </c>
    </row>
    <row r="196" spans="1:6" x14ac:dyDescent="0.2">
      <c r="A196">
        <v>195</v>
      </c>
      <c r="B196" t="s">
        <v>3662</v>
      </c>
      <c r="D196" t="s">
        <v>3861</v>
      </c>
      <c r="E196" t="s">
        <v>3221</v>
      </c>
      <c r="F196">
        <v>29.09</v>
      </c>
    </row>
    <row r="197" spans="1:6" x14ac:dyDescent="0.2">
      <c r="A197">
        <v>196</v>
      </c>
      <c r="B197" t="s">
        <v>3662</v>
      </c>
      <c r="D197" t="s">
        <v>3862</v>
      </c>
      <c r="E197" t="s">
        <v>3221</v>
      </c>
      <c r="F197">
        <v>29.09</v>
      </c>
    </row>
    <row r="198" spans="1:6" x14ac:dyDescent="0.2">
      <c r="A198">
        <v>197</v>
      </c>
      <c r="B198" t="s">
        <v>3662</v>
      </c>
      <c r="D198" t="s">
        <v>3863</v>
      </c>
      <c r="E198" t="s">
        <v>3221</v>
      </c>
      <c r="F198">
        <v>29.09</v>
      </c>
    </row>
    <row r="199" spans="1:6" x14ac:dyDescent="0.2">
      <c r="A199">
        <v>198</v>
      </c>
      <c r="B199" t="s">
        <v>3662</v>
      </c>
      <c r="D199" t="s">
        <v>3864</v>
      </c>
      <c r="E199" t="s">
        <v>3221</v>
      </c>
      <c r="F199">
        <v>29.09</v>
      </c>
    </row>
    <row r="200" spans="1:6" x14ac:dyDescent="0.2">
      <c r="A200">
        <v>199</v>
      </c>
      <c r="B200" t="s">
        <v>3662</v>
      </c>
      <c r="D200" t="s">
        <v>3865</v>
      </c>
      <c r="E200" t="s">
        <v>3221</v>
      </c>
      <c r="F200">
        <v>29.09</v>
      </c>
    </row>
    <row r="201" spans="1:6" x14ac:dyDescent="0.2">
      <c r="A201">
        <v>200</v>
      </c>
      <c r="B201" t="s">
        <v>3662</v>
      </c>
      <c r="D201" t="s">
        <v>3866</v>
      </c>
      <c r="E201" t="s">
        <v>3221</v>
      </c>
      <c r="F201">
        <v>29.09</v>
      </c>
    </row>
    <row r="202" spans="1:6" x14ac:dyDescent="0.2">
      <c r="A202">
        <v>201</v>
      </c>
      <c r="B202" t="s">
        <v>3662</v>
      </c>
      <c r="D202" t="s">
        <v>3867</v>
      </c>
      <c r="E202" t="s">
        <v>3221</v>
      </c>
      <c r="F202">
        <v>29.09</v>
      </c>
    </row>
    <row r="203" spans="1:6" x14ac:dyDescent="0.2">
      <c r="A203">
        <v>202</v>
      </c>
      <c r="B203" t="s">
        <v>3662</v>
      </c>
      <c r="D203" t="s">
        <v>3868</v>
      </c>
      <c r="E203" t="s">
        <v>3221</v>
      </c>
      <c r="F203">
        <v>29.09</v>
      </c>
    </row>
    <row r="204" spans="1:6" x14ac:dyDescent="0.2">
      <c r="A204">
        <v>203</v>
      </c>
      <c r="B204" t="s">
        <v>3662</v>
      </c>
      <c r="D204" t="s">
        <v>3869</v>
      </c>
      <c r="E204" t="s">
        <v>3221</v>
      </c>
      <c r="F204">
        <v>29.09</v>
      </c>
    </row>
    <row r="205" spans="1:6" x14ac:dyDescent="0.2">
      <c r="A205">
        <v>204</v>
      </c>
      <c r="B205" t="s">
        <v>3662</v>
      </c>
      <c r="D205" t="s">
        <v>3870</v>
      </c>
      <c r="E205" t="s">
        <v>3221</v>
      </c>
      <c r="F205">
        <v>29.09</v>
      </c>
    </row>
    <row r="206" spans="1:6" x14ac:dyDescent="0.2">
      <c r="A206">
        <v>205</v>
      </c>
      <c r="B206" t="s">
        <v>3662</v>
      </c>
      <c r="D206" t="s">
        <v>3871</v>
      </c>
      <c r="E206" t="s">
        <v>3221</v>
      </c>
      <c r="F206">
        <v>29.09</v>
      </c>
    </row>
    <row r="207" spans="1:6" x14ac:dyDescent="0.2">
      <c r="A207">
        <v>206</v>
      </c>
      <c r="B207" t="s">
        <v>3662</v>
      </c>
      <c r="D207" t="s">
        <v>3872</v>
      </c>
      <c r="E207" t="s">
        <v>3221</v>
      </c>
      <c r="F207">
        <v>29.09</v>
      </c>
    </row>
    <row r="208" spans="1:6" x14ac:dyDescent="0.2">
      <c r="A208">
        <v>207</v>
      </c>
      <c r="B208" t="s">
        <v>3662</v>
      </c>
      <c r="D208" t="s">
        <v>3873</v>
      </c>
      <c r="E208" t="s">
        <v>3221</v>
      </c>
      <c r="F208">
        <v>29.09</v>
      </c>
    </row>
    <row r="209" spans="1:6" x14ac:dyDescent="0.2">
      <c r="A209">
        <v>208</v>
      </c>
      <c r="B209" t="s">
        <v>3662</v>
      </c>
      <c r="D209" t="s">
        <v>3874</v>
      </c>
      <c r="E209" t="s">
        <v>3221</v>
      </c>
      <c r="F209">
        <v>29.09</v>
      </c>
    </row>
    <row r="210" spans="1:6" x14ac:dyDescent="0.2">
      <c r="A210">
        <v>209</v>
      </c>
      <c r="B210" t="s">
        <v>3662</v>
      </c>
      <c r="D210" t="s">
        <v>3875</v>
      </c>
      <c r="E210" t="s">
        <v>3221</v>
      </c>
      <c r="F210">
        <v>29.09</v>
      </c>
    </row>
    <row r="211" spans="1:6" x14ac:dyDescent="0.2">
      <c r="A211">
        <v>210</v>
      </c>
      <c r="B211" t="s">
        <v>3662</v>
      </c>
      <c r="D211" t="s">
        <v>3876</v>
      </c>
      <c r="E211" t="s">
        <v>3221</v>
      </c>
      <c r="F211">
        <v>29.09</v>
      </c>
    </row>
    <row r="212" spans="1:6" x14ac:dyDescent="0.2">
      <c r="A212">
        <v>211</v>
      </c>
      <c r="B212" t="s">
        <v>3662</v>
      </c>
      <c r="D212" t="s">
        <v>3877</v>
      </c>
      <c r="E212" t="s">
        <v>3221</v>
      </c>
      <c r="F212">
        <v>29.09</v>
      </c>
    </row>
    <row r="213" spans="1:6" x14ac:dyDescent="0.2">
      <c r="A213">
        <v>212</v>
      </c>
      <c r="B213" t="s">
        <v>3662</v>
      </c>
      <c r="D213" t="s">
        <v>3878</v>
      </c>
      <c r="E213" t="s">
        <v>3221</v>
      </c>
      <c r="F213">
        <v>29.09</v>
      </c>
    </row>
    <row r="214" spans="1:6" x14ac:dyDescent="0.2">
      <c r="A214">
        <v>213</v>
      </c>
      <c r="B214" t="s">
        <v>3662</v>
      </c>
      <c r="D214" t="s">
        <v>3879</v>
      </c>
      <c r="E214" t="s">
        <v>3221</v>
      </c>
      <c r="F214">
        <v>29.09</v>
      </c>
    </row>
    <row r="215" spans="1:6" x14ac:dyDescent="0.2">
      <c r="A215">
        <v>214</v>
      </c>
      <c r="B215" t="s">
        <v>3662</v>
      </c>
      <c r="D215" t="s">
        <v>3880</v>
      </c>
      <c r="E215" t="s">
        <v>3221</v>
      </c>
      <c r="F215">
        <v>29.09</v>
      </c>
    </row>
    <row r="216" spans="1:6" x14ac:dyDescent="0.2">
      <c r="A216">
        <v>215</v>
      </c>
      <c r="B216" t="s">
        <v>3662</v>
      </c>
      <c r="D216" t="s">
        <v>3881</v>
      </c>
      <c r="E216" t="s">
        <v>3221</v>
      </c>
      <c r="F216">
        <v>29.09</v>
      </c>
    </row>
    <row r="217" spans="1:6" x14ac:dyDescent="0.2">
      <c r="A217">
        <v>216</v>
      </c>
      <c r="B217" t="s">
        <v>3662</v>
      </c>
      <c r="D217" t="s">
        <v>3882</v>
      </c>
      <c r="E217" t="s">
        <v>3221</v>
      </c>
      <c r="F217">
        <v>29.09</v>
      </c>
    </row>
    <row r="218" spans="1:6" x14ac:dyDescent="0.2">
      <c r="A218">
        <v>217</v>
      </c>
      <c r="B218" t="s">
        <v>3662</v>
      </c>
      <c r="D218" t="s">
        <v>3883</v>
      </c>
      <c r="E218" t="s">
        <v>3221</v>
      </c>
      <c r="F218">
        <v>29.09</v>
      </c>
    </row>
    <row r="219" spans="1:6" x14ac:dyDescent="0.2">
      <c r="A219">
        <v>218</v>
      </c>
      <c r="B219" t="s">
        <v>3662</v>
      </c>
      <c r="D219" t="s">
        <v>3884</v>
      </c>
      <c r="E219" t="s">
        <v>3221</v>
      </c>
      <c r="F219">
        <v>29.09</v>
      </c>
    </row>
    <row r="220" spans="1:6" x14ac:dyDescent="0.2">
      <c r="A220">
        <v>219</v>
      </c>
      <c r="B220" t="s">
        <v>3662</v>
      </c>
      <c r="D220" t="s">
        <v>3885</v>
      </c>
      <c r="E220" t="s">
        <v>3221</v>
      </c>
      <c r="F220">
        <v>29.09</v>
      </c>
    </row>
    <row r="221" spans="1:6" x14ac:dyDescent="0.2">
      <c r="A221">
        <v>220</v>
      </c>
      <c r="B221" t="s">
        <v>3662</v>
      </c>
      <c r="D221" t="s">
        <v>3886</v>
      </c>
      <c r="E221" t="s">
        <v>3221</v>
      </c>
      <c r="F221">
        <v>29.09</v>
      </c>
    </row>
    <row r="222" spans="1:6" x14ac:dyDescent="0.2">
      <c r="A222">
        <v>221</v>
      </c>
      <c r="B222" t="s">
        <v>3662</v>
      </c>
      <c r="D222" t="s">
        <v>3887</v>
      </c>
      <c r="E222" t="s">
        <v>3221</v>
      </c>
      <c r="F222">
        <v>29.09</v>
      </c>
    </row>
    <row r="223" spans="1:6" x14ac:dyDescent="0.2">
      <c r="A223">
        <v>222</v>
      </c>
      <c r="B223" t="s">
        <v>3662</v>
      </c>
      <c r="D223" t="s">
        <v>3888</v>
      </c>
      <c r="E223" t="s">
        <v>3221</v>
      </c>
      <c r="F223">
        <v>29.09</v>
      </c>
    </row>
    <row r="224" spans="1:6" x14ac:dyDescent="0.2">
      <c r="A224">
        <v>223</v>
      </c>
      <c r="B224" t="s">
        <v>3662</v>
      </c>
      <c r="D224" t="s">
        <v>3889</v>
      </c>
      <c r="E224" t="s">
        <v>3221</v>
      </c>
      <c r="F224">
        <v>29.09</v>
      </c>
    </row>
    <row r="225" spans="1:6" x14ac:dyDescent="0.2">
      <c r="A225">
        <v>224</v>
      </c>
      <c r="B225" t="s">
        <v>3662</v>
      </c>
      <c r="D225" t="s">
        <v>3890</v>
      </c>
      <c r="E225" t="s">
        <v>3221</v>
      </c>
      <c r="F225">
        <v>29.09</v>
      </c>
    </row>
    <row r="226" spans="1:6" x14ac:dyDescent="0.2">
      <c r="A226">
        <v>225</v>
      </c>
      <c r="B226" t="s">
        <v>3662</v>
      </c>
      <c r="D226" t="s">
        <v>3891</v>
      </c>
      <c r="E226" t="s">
        <v>3221</v>
      </c>
      <c r="F226">
        <v>29.09</v>
      </c>
    </row>
    <row r="227" spans="1:6" x14ac:dyDescent="0.2">
      <c r="A227">
        <v>226</v>
      </c>
      <c r="B227" t="s">
        <v>3662</v>
      </c>
      <c r="D227" t="s">
        <v>3892</v>
      </c>
      <c r="E227" t="s">
        <v>3221</v>
      </c>
      <c r="F227">
        <v>29.09</v>
      </c>
    </row>
    <row r="228" spans="1:6" x14ac:dyDescent="0.2">
      <c r="A228">
        <v>227</v>
      </c>
      <c r="B228" t="s">
        <v>3662</v>
      </c>
      <c r="D228" t="s">
        <v>3893</v>
      </c>
      <c r="E228" t="s">
        <v>3221</v>
      </c>
      <c r="F228">
        <v>29.09</v>
      </c>
    </row>
    <row r="229" spans="1:6" x14ac:dyDescent="0.2">
      <c r="A229">
        <v>228</v>
      </c>
      <c r="B229" t="s">
        <v>3662</v>
      </c>
      <c r="D229" t="s">
        <v>3894</v>
      </c>
      <c r="E229" t="s">
        <v>3221</v>
      </c>
      <c r="F229">
        <v>29.09</v>
      </c>
    </row>
    <row r="230" spans="1:6" x14ac:dyDescent="0.2">
      <c r="A230">
        <v>229</v>
      </c>
      <c r="B230" t="s">
        <v>3662</v>
      </c>
      <c r="D230" t="s">
        <v>3895</v>
      </c>
      <c r="E230" t="s">
        <v>3221</v>
      </c>
      <c r="F230">
        <v>29.09</v>
      </c>
    </row>
    <row r="231" spans="1:6" x14ac:dyDescent="0.2">
      <c r="A231">
        <v>230</v>
      </c>
      <c r="B231" t="s">
        <v>3662</v>
      </c>
      <c r="D231" t="s">
        <v>3896</v>
      </c>
      <c r="E231" t="s">
        <v>3221</v>
      </c>
      <c r="F231">
        <v>29.09</v>
      </c>
    </row>
    <row r="232" spans="1:6" x14ac:dyDescent="0.2">
      <c r="A232">
        <v>231</v>
      </c>
      <c r="B232" t="s">
        <v>3662</v>
      </c>
      <c r="D232" t="s">
        <v>3897</v>
      </c>
      <c r="E232" t="s">
        <v>3221</v>
      </c>
      <c r="F232">
        <v>29.09</v>
      </c>
    </row>
    <row r="233" spans="1:6" x14ac:dyDescent="0.2">
      <c r="A233">
        <v>232</v>
      </c>
      <c r="B233" t="s">
        <v>3662</v>
      </c>
      <c r="D233" t="s">
        <v>3898</v>
      </c>
      <c r="E233" t="s">
        <v>3221</v>
      </c>
      <c r="F233">
        <v>29.09</v>
      </c>
    </row>
    <row r="234" spans="1:6" x14ac:dyDescent="0.2">
      <c r="A234">
        <v>233</v>
      </c>
      <c r="B234" t="s">
        <v>3662</v>
      </c>
      <c r="D234" t="s">
        <v>3899</v>
      </c>
      <c r="E234" t="s">
        <v>3221</v>
      </c>
      <c r="F234">
        <v>29.09</v>
      </c>
    </row>
    <row r="235" spans="1:6" x14ac:dyDescent="0.2">
      <c r="A235">
        <v>234</v>
      </c>
      <c r="B235" t="s">
        <v>3662</v>
      </c>
      <c r="D235" t="s">
        <v>3900</v>
      </c>
      <c r="E235" t="s">
        <v>3221</v>
      </c>
      <c r="F235">
        <v>29.09</v>
      </c>
    </row>
    <row r="236" spans="1:6" x14ac:dyDescent="0.2">
      <c r="A236">
        <v>235</v>
      </c>
      <c r="B236" t="s">
        <v>3662</v>
      </c>
      <c r="D236" t="s">
        <v>3901</v>
      </c>
      <c r="E236" t="s">
        <v>3221</v>
      </c>
      <c r="F236">
        <v>29.09</v>
      </c>
    </row>
    <row r="237" spans="1:6" x14ac:dyDescent="0.2">
      <c r="A237">
        <v>236</v>
      </c>
      <c r="B237" t="s">
        <v>3662</v>
      </c>
      <c r="D237" t="s">
        <v>3902</v>
      </c>
      <c r="E237" t="s">
        <v>3221</v>
      </c>
      <c r="F237">
        <v>29.09</v>
      </c>
    </row>
    <row r="238" spans="1:6" x14ac:dyDescent="0.2">
      <c r="A238">
        <v>237</v>
      </c>
      <c r="B238" t="s">
        <v>3662</v>
      </c>
      <c r="D238" t="s">
        <v>3903</v>
      </c>
      <c r="E238" t="s">
        <v>3221</v>
      </c>
      <c r="F238">
        <v>29.09</v>
      </c>
    </row>
    <row r="239" spans="1:6" x14ac:dyDescent="0.2">
      <c r="A239">
        <v>238</v>
      </c>
      <c r="B239" t="s">
        <v>3662</v>
      </c>
      <c r="D239" t="s">
        <v>3904</v>
      </c>
      <c r="E239" t="s">
        <v>3221</v>
      </c>
      <c r="F239">
        <v>29.09</v>
      </c>
    </row>
    <row r="240" spans="1:6" x14ac:dyDescent="0.2">
      <c r="A240">
        <v>239</v>
      </c>
      <c r="B240" t="s">
        <v>3662</v>
      </c>
      <c r="D240" t="s">
        <v>3905</v>
      </c>
      <c r="E240" t="s">
        <v>3221</v>
      </c>
      <c r="F240">
        <v>29.09</v>
      </c>
    </row>
    <row r="241" spans="1:6" x14ac:dyDescent="0.2">
      <c r="A241">
        <v>240</v>
      </c>
      <c r="B241" t="s">
        <v>3662</v>
      </c>
      <c r="D241" t="s">
        <v>3906</v>
      </c>
      <c r="E241" t="s">
        <v>3221</v>
      </c>
      <c r="F241">
        <v>29.09</v>
      </c>
    </row>
    <row r="242" spans="1:6" x14ac:dyDescent="0.2">
      <c r="A242">
        <v>241</v>
      </c>
      <c r="B242" t="s">
        <v>3662</v>
      </c>
      <c r="D242" t="s">
        <v>3907</v>
      </c>
      <c r="E242" t="s">
        <v>3221</v>
      </c>
      <c r="F242">
        <v>29.09</v>
      </c>
    </row>
    <row r="243" spans="1:6" x14ac:dyDescent="0.2">
      <c r="A243">
        <v>242</v>
      </c>
      <c r="B243" t="s">
        <v>3662</v>
      </c>
      <c r="D243" t="s">
        <v>3908</v>
      </c>
      <c r="E243" t="s">
        <v>3221</v>
      </c>
      <c r="F243">
        <v>29.09</v>
      </c>
    </row>
    <row r="244" spans="1:6" x14ac:dyDescent="0.2">
      <c r="A244">
        <v>243</v>
      </c>
      <c r="B244" t="s">
        <v>3662</v>
      </c>
      <c r="D244" t="s">
        <v>3909</v>
      </c>
      <c r="E244" t="s">
        <v>3221</v>
      </c>
      <c r="F244">
        <v>29.09</v>
      </c>
    </row>
    <row r="245" spans="1:6" x14ac:dyDescent="0.2">
      <c r="A245">
        <v>244</v>
      </c>
      <c r="B245" t="s">
        <v>3662</v>
      </c>
      <c r="D245" t="s">
        <v>3910</v>
      </c>
      <c r="E245" t="s">
        <v>3221</v>
      </c>
      <c r="F245">
        <v>29.09</v>
      </c>
    </row>
    <row r="246" spans="1:6" x14ac:dyDescent="0.2">
      <c r="A246">
        <v>245</v>
      </c>
      <c r="B246" t="s">
        <v>3662</v>
      </c>
      <c r="D246" t="s">
        <v>3911</v>
      </c>
      <c r="E246" t="s">
        <v>3221</v>
      </c>
      <c r="F246">
        <v>29.09</v>
      </c>
    </row>
    <row r="247" spans="1:6" x14ac:dyDescent="0.2">
      <c r="A247">
        <v>246</v>
      </c>
      <c r="B247" t="s">
        <v>3662</v>
      </c>
      <c r="D247" t="s">
        <v>3912</v>
      </c>
      <c r="E247" t="s">
        <v>3221</v>
      </c>
      <c r="F247">
        <v>29.09</v>
      </c>
    </row>
    <row r="248" spans="1:6" x14ac:dyDescent="0.2">
      <c r="A248">
        <v>247</v>
      </c>
      <c r="B248" t="s">
        <v>3662</v>
      </c>
      <c r="D248" t="s">
        <v>3913</v>
      </c>
      <c r="E248" t="s">
        <v>3221</v>
      </c>
      <c r="F248">
        <v>29.09</v>
      </c>
    </row>
    <row r="249" spans="1:6" x14ac:dyDescent="0.2">
      <c r="A249">
        <v>248</v>
      </c>
      <c r="B249" t="s">
        <v>3662</v>
      </c>
      <c r="D249" t="s">
        <v>3914</v>
      </c>
      <c r="E249" t="s">
        <v>3221</v>
      </c>
      <c r="F249">
        <v>29.09</v>
      </c>
    </row>
    <row r="250" spans="1:6" x14ac:dyDescent="0.2">
      <c r="A250">
        <v>249</v>
      </c>
      <c r="B250" t="s">
        <v>3662</v>
      </c>
      <c r="D250" t="s">
        <v>3915</v>
      </c>
      <c r="E250" t="s">
        <v>3221</v>
      </c>
      <c r="F250">
        <v>29.09</v>
      </c>
    </row>
    <row r="251" spans="1:6" x14ac:dyDescent="0.2">
      <c r="A251">
        <v>250</v>
      </c>
      <c r="B251" t="s">
        <v>3662</v>
      </c>
      <c r="D251" t="s">
        <v>3916</v>
      </c>
      <c r="E251" t="s">
        <v>3221</v>
      </c>
      <c r="F251">
        <v>29.09</v>
      </c>
    </row>
    <row r="252" spans="1:6" x14ac:dyDescent="0.2">
      <c r="A252">
        <v>251</v>
      </c>
      <c r="B252" t="s">
        <v>3662</v>
      </c>
      <c r="D252" t="s">
        <v>3917</v>
      </c>
      <c r="E252" t="s">
        <v>3221</v>
      </c>
      <c r="F252">
        <v>29.09</v>
      </c>
    </row>
    <row r="253" spans="1:6" x14ac:dyDescent="0.2">
      <c r="A253">
        <v>252</v>
      </c>
      <c r="B253" t="s">
        <v>3662</v>
      </c>
      <c r="D253" t="s">
        <v>3918</v>
      </c>
      <c r="E253" t="s">
        <v>3221</v>
      </c>
      <c r="F253">
        <v>29.09</v>
      </c>
    </row>
    <row r="254" spans="1:6" x14ac:dyDescent="0.2">
      <c r="A254">
        <v>253</v>
      </c>
      <c r="B254" t="s">
        <v>3662</v>
      </c>
      <c r="D254" t="s">
        <v>3919</v>
      </c>
      <c r="E254" t="s">
        <v>3221</v>
      </c>
      <c r="F254">
        <v>29.09</v>
      </c>
    </row>
    <row r="255" spans="1:6" x14ac:dyDescent="0.2">
      <c r="A255">
        <v>254</v>
      </c>
      <c r="B255" t="s">
        <v>3662</v>
      </c>
      <c r="D255" t="s">
        <v>3920</v>
      </c>
      <c r="E255" t="s">
        <v>3221</v>
      </c>
      <c r="F255">
        <v>29.09</v>
      </c>
    </row>
    <row r="256" spans="1:6" x14ac:dyDescent="0.2">
      <c r="A256">
        <v>255</v>
      </c>
      <c r="B256" t="s">
        <v>3662</v>
      </c>
      <c r="D256" t="s">
        <v>3921</v>
      </c>
      <c r="E256" t="s">
        <v>3221</v>
      </c>
      <c r="F256">
        <v>29.09</v>
      </c>
    </row>
    <row r="257" spans="1:6" x14ac:dyDescent="0.2">
      <c r="A257">
        <v>256</v>
      </c>
      <c r="B257" t="s">
        <v>3662</v>
      </c>
      <c r="D257" t="s">
        <v>3922</v>
      </c>
      <c r="E257" t="s">
        <v>3221</v>
      </c>
      <c r="F257">
        <v>29.09</v>
      </c>
    </row>
    <row r="258" spans="1:6" x14ac:dyDescent="0.2">
      <c r="A258">
        <v>257</v>
      </c>
      <c r="B258" t="s">
        <v>3662</v>
      </c>
      <c r="D258" t="s">
        <v>3923</v>
      </c>
      <c r="E258" t="s">
        <v>3221</v>
      </c>
      <c r="F258">
        <v>29.09</v>
      </c>
    </row>
    <row r="259" spans="1:6" x14ac:dyDescent="0.2">
      <c r="A259">
        <v>258</v>
      </c>
      <c r="B259" t="s">
        <v>3662</v>
      </c>
      <c r="D259" t="s">
        <v>3924</v>
      </c>
      <c r="E259" t="s">
        <v>3221</v>
      </c>
      <c r="F259">
        <v>29.09</v>
      </c>
    </row>
    <row r="260" spans="1:6" x14ac:dyDescent="0.2">
      <c r="A260">
        <v>259</v>
      </c>
      <c r="B260" t="s">
        <v>3662</v>
      </c>
      <c r="D260" t="s">
        <v>3925</v>
      </c>
      <c r="E260" t="s">
        <v>3221</v>
      </c>
      <c r="F260">
        <v>29.09</v>
      </c>
    </row>
    <row r="261" spans="1:6" x14ac:dyDescent="0.2">
      <c r="A261">
        <v>260</v>
      </c>
      <c r="B261" t="s">
        <v>3662</v>
      </c>
      <c r="D261" t="s">
        <v>3926</v>
      </c>
      <c r="E261" t="s">
        <v>3221</v>
      </c>
      <c r="F261">
        <v>29.09</v>
      </c>
    </row>
    <row r="262" spans="1:6" x14ac:dyDescent="0.2">
      <c r="A262">
        <v>261</v>
      </c>
      <c r="B262" t="s">
        <v>3662</v>
      </c>
      <c r="D262" t="s">
        <v>3927</v>
      </c>
      <c r="E262" t="s">
        <v>3221</v>
      </c>
      <c r="F262">
        <v>29.09</v>
      </c>
    </row>
    <row r="263" spans="1:6" x14ac:dyDescent="0.2">
      <c r="A263">
        <v>262</v>
      </c>
      <c r="B263" t="s">
        <v>3662</v>
      </c>
      <c r="D263" t="s">
        <v>3928</v>
      </c>
      <c r="E263" t="s">
        <v>3221</v>
      </c>
      <c r="F263">
        <v>29.09</v>
      </c>
    </row>
    <row r="264" spans="1:6" x14ac:dyDescent="0.2">
      <c r="A264">
        <v>263</v>
      </c>
      <c r="B264" t="s">
        <v>3662</v>
      </c>
      <c r="D264" t="s">
        <v>3929</v>
      </c>
      <c r="E264" t="s">
        <v>3221</v>
      </c>
      <c r="F264">
        <v>29.09</v>
      </c>
    </row>
    <row r="265" spans="1:6" x14ac:dyDescent="0.2">
      <c r="A265">
        <v>264</v>
      </c>
      <c r="B265" t="s">
        <v>3662</v>
      </c>
      <c r="D265" t="s">
        <v>3930</v>
      </c>
      <c r="E265" t="s">
        <v>3221</v>
      </c>
      <c r="F265">
        <v>29.09</v>
      </c>
    </row>
    <row r="266" spans="1:6" x14ac:dyDescent="0.2">
      <c r="A266">
        <v>265</v>
      </c>
      <c r="B266" t="s">
        <v>3662</v>
      </c>
      <c r="D266" t="s">
        <v>3931</v>
      </c>
      <c r="E266" t="s">
        <v>3221</v>
      </c>
      <c r="F266">
        <v>29.09</v>
      </c>
    </row>
    <row r="267" spans="1:6" x14ac:dyDescent="0.2">
      <c r="A267">
        <v>266</v>
      </c>
      <c r="B267" t="s">
        <v>3662</v>
      </c>
      <c r="D267" t="s">
        <v>3932</v>
      </c>
      <c r="E267" t="s">
        <v>3221</v>
      </c>
      <c r="F267">
        <v>29.09</v>
      </c>
    </row>
    <row r="268" spans="1:6" x14ac:dyDescent="0.2">
      <c r="A268">
        <v>267</v>
      </c>
      <c r="B268" t="s">
        <v>3662</v>
      </c>
      <c r="D268" t="s">
        <v>3933</v>
      </c>
      <c r="E268" t="s">
        <v>3221</v>
      </c>
      <c r="F268">
        <v>29.09</v>
      </c>
    </row>
    <row r="269" spans="1:6" x14ac:dyDescent="0.2">
      <c r="A269">
        <v>268</v>
      </c>
      <c r="B269" t="s">
        <v>3662</v>
      </c>
      <c r="D269" t="s">
        <v>3934</v>
      </c>
      <c r="E269" t="s">
        <v>3221</v>
      </c>
      <c r="F269">
        <v>29.09</v>
      </c>
    </row>
    <row r="270" spans="1:6" x14ac:dyDescent="0.2">
      <c r="A270">
        <v>269</v>
      </c>
      <c r="B270" t="s">
        <v>3662</v>
      </c>
      <c r="D270" t="s">
        <v>3935</v>
      </c>
      <c r="E270" t="s">
        <v>3221</v>
      </c>
      <c r="F270">
        <v>29.09</v>
      </c>
    </row>
    <row r="271" spans="1:6" x14ac:dyDescent="0.2">
      <c r="A271">
        <v>270</v>
      </c>
      <c r="B271" t="s">
        <v>3662</v>
      </c>
      <c r="D271" t="s">
        <v>3936</v>
      </c>
      <c r="E271" t="s">
        <v>3221</v>
      </c>
      <c r="F271">
        <v>29.09</v>
      </c>
    </row>
    <row r="272" spans="1:6" x14ac:dyDescent="0.2">
      <c r="A272">
        <v>271</v>
      </c>
      <c r="B272" t="s">
        <v>3662</v>
      </c>
      <c r="D272" t="s">
        <v>3937</v>
      </c>
      <c r="E272" t="s">
        <v>3221</v>
      </c>
      <c r="F272">
        <v>29.09</v>
      </c>
    </row>
    <row r="273" spans="1:6" x14ac:dyDescent="0.2">
      <c r="A273">
        <v>272</v>
      </c>
      <c r="B273" t="s">
        <v>3662</v>
      </c>
      <c r="D273" t="s">
        <v>3938</v>
      </c>
      <c r="E273" t="s">
        <v>3221</v>
      </c>
      <c r="F273">
        <v>29.09</v>
      </c>
    </row>
    <row r="274" spans="1:6" x14ac:dyDescent="0.2">
      <c r="A274">
        <v>273</v>
      </c>
      <c r="B274" t="s">
        <v>3662</v>
      </c>
      <c r="D274" t="s">
        <v>3939</v>
      </c>
      <c r="E274" t="s">
        <v>3221</v>
      </c>
      <c r="F274">
        <v>29.09</v>
      </c>
    </row>
    <row r="275" spans="1:6" x14ac:dyDescent="0.2">
      <c r="A275">
        <v>274</v>
      </c>
      <c r="B275" t="s">
        <v>3662</v>
      </c>
      <c r="D275" t="s">
        <v>3940</v>
      </c>
      <c r="E275" t="s">
        <v>3221</v>
      </c>
      <c r="F275">
        <v>29.09</v>
      </c>
    </row>
    <row r="276" spans="1:6" x14ac:dyDescent="0.2">
      <c r="A276">
        <v>275</v>
      </c>
      <c r="B276" t="s">
        <v>3662</v>
      </c>
      <c r="D276" t="s">
        <v>3941</v>
      </c>
      <c r="E276" t="s">
        <v>3221</v>
      </c>
      <c r="F276">
        <v>29.09</v>
      </c>
    </row>
    <row r="277" spans="1:6" x14ac:dyDescent="0.2">
      <c r="A277">
        <v>276</v>
      </c>
      <c r="B277" t="s">
        <v>3662</v>
      </c>
      <c r="D277" t="s">
        <v>3942</v>
      </c>
      <c r="E277" t="s">
        <v>3221</v>
      </c>
      <c r="F277">
        <v>29.09</v>
      </c>
    </row>
    <row r="278" spans="1:6" x14ac:dyDescent="0.2">
      <c r="A278">
        <v>277</v>
      </c>
      <c r="B278" t="s">
        <v>3662</v>
      </c>
      <c r="D278" t="s">
        <v>3943</v>
      </c>
      <c r="E278" t="s">
        <v>3221</v>
      </c>
      <c r="F278">
        <v>29.09</v>
      </c>
    </row>
    <row r="279" spans="1:6" x14ac:dyDescent="0.2">
      <c r="A279">
        <v>278</v>
      </c>
      <c r="B279" t="s">
        <v>3662</v>
      </c>
      <c r="D279" t="s">
        <v>3944</v>
      </c>
      <c r="E279" t="s">
        <v>3221</v>
      </c>
      <c r="F279">
        <v>29.09</v>
      </c>
    </row>
    <row r="280" spans="1:6" x14ac:dyDescent="0.2">
      <c r="A280">
        <v>279</v>
      </c>
      <c r="B280" t="s">
        <v>3662</v>
      </c>
      <c r="D280" t="s">
        <v>3945</v>
      </c>
      <c r="E280" t="s">
        <v>3221</v>
      </c>
      <c r="F280">
        <v>29.09</v>
      </c>
    </row>
    <row r="281" spans="1:6" x14ac:dyDescent="0.2">
      <c r="A281">
        <v>280</v>
      </c>
      <c r="B281" t="s">
        <v>3662</v>
      </c>
      <c r="D281" t="s">
        <v>3946</v>
      </c>
      <c r="E281" t="s">
        <v>3221</v>
      </c>
      <c r="F281">
        <v>29.09</v>
      </c>
    </row>
    <row r="282" spans="1:6" x14ac:dyDescent="0.2">
      <c r="A282">
        <v>281</v>
      </c>
      <c r="B282" t="s">
        <v>3662</v>
      </c>
      <c r="D282" t="s">
        <v>3947</v>
      </c>
      <c r="E282" t="s">
        <v>3221</v>
      </c>
      <c r="F282">
        <v>29.09</v>
      </c>
    </row>
    <row r="283" spans="1:6" x14ac:dyDescent="0.2">
      <c r="A283">
        <v>282</v>
      </c>
      <c r="B283" t="s">
        <v>3662</v>
      </c>
      <c r="D283" t="s">
        <v>3948</v>
      </c>
      <c r="E283" t="s">
        <v>3221</v>
      </c>
      <c r="F283">
        <v>29.09</v>
      </c>
    </row>
    <row r="284" spans="1:6" x14ac:dyDescent="0.2">
      <c r="A284">
        <v>283</v>
      </c>
      <c r="B284" t="s">
        <v>3662</v>
      </c>
      <c r="D284" t="s">
        <v>3949</v>
      </c>
      <c r="E284" t="s">
        <v>3221</v>
      </c>
      <c r="F284">
        <v>29.09</v>
      </c>
    </row>
    <row r="285" spans="1:6" x14ac:dyDescent="0.2">
      <c r="A285">
        <v>284</v>
      </c>
      <c r="B285" t="s">
        <v>3662</v>
      </c>
      <c r="D285" t="s">
        <v>3950</v>
      </c>
      <c r="E285" t="s">
        <v>3221</v>
      </c>
      <c r="F285">
        <v>29.09</v>
      </c>
    </row>
    <row r="286" spans="1:6" x14ac:dyDescent="0.2">
      <c r="A286">
        <v>285</v>
      </c>
      <c r="B286" t="s">
        <v>3662</v>
      </c>
      <c r="D286" t="s">
        <v>3951</v>
      </c>
      <c r="E286" t="s">
        <v>3221</v>
      </c>
      <c r="F286">
        <v>29.09</v>
      </c>
    </row>
    <row r="287" spans="1:6" x14ac:dyDescent="0.2">
      <c r="A287">
        <v>286</v>
      </c>
      <c r="B287" t="s">
        <v>3662</v>
      </c>
      <c r="D287" t="s">
        <v>3952</v>
      </c>
      <c r="E287" t="s">
        <v>3221</v>
      </c>
      <c r="F287">
        <v>29.09</v>
      </c>
    </row>
    <row r="288" spans="1:6" x14ac:dyDescent="0.2">
      <c r="A288">
        <v>287</v>
      </c>
      <c r="B288" t="s">
        <v>3662</v>
      </c>
      <c r="D288" t="s">
        <v>3953</v>
      </c>
      <c r="E288" t="s">
        <v>3221</v>
      </c>
      <c r="F288">
        <v>29.09</v>
      </c>
    </row>
    <row r="289" spans="1:6" x14ac:dyDescent="0.2">
      <c r="A289">
        <v>288</v>
      </c>
      <c r="B289" t="s">
        <v>3662</v>
      </c>
      <c r="D289" t="s">
        <v>3954</v>
      </c>
      <c r="E289" t="s">
        <v>3221</v>
      </c>
      <c r="F289">
        <v>29.09</v>
      </c>
    </row>
    <row r="290" spans="1:6" x14ac:dyDescent="0.2">
      <c r="A290">
        <v>289</v>
      </c>
      <c r="B290" t="s">
        <v>3662</v>
      </c>
      <c r="D290" t="s">
        <v>3955</v>
      </c>
      <c r="E290" t="s">
        <v>3221</v>
      </c>
      <c r="F290">
        <v>29.09</v>
      </c>
    </row>
    <row r="291" spans="1:6" x14ac:dyDescent="0.2">
      <c r="A291">
        <v>290</v>
      </c>
      <c r="B291" t="s">
        <v>3662</v>
      </c>
      <c r="D291" t="s">
        <v>3956</v>
      </c>
      <c r="E291" t="s">
        <v>3221</v>
      </c>
      <c r="F291">
        <v>29.09</v>
      </c>
    </row>
    <row r="292" spans="1:6" x14ac:dyDescent="0.2">
      <c r="A292">
        <v>291</v>
      </c>
      <c r="B292" t="s">
        <v>3662</v>
      </c>
      <c r="D292" t="s">
        <v>3957</v>
      </c>
      <c r="E292" t="s">
        <v>3221</v>
      </c>
      <c r="F292">
        <v>29.09</v>
      </c>
    </row>
    <row r="293" spans="1:6" x14ac:dyDescent="0.2">
      <c r="A293">
        <v>292</v>
      </c>
      <c r="B293" t="s">
        <v>3662</v>
      </c>
      <c r="D293" t="s">
        <v>3958</v>
      </c>
      <c r="E293" t="s">
        <v>3221</v>
      </c>
      <c r="F293">
        <v>29.09</v>
      </c>
    </row>
    <row r="294" spans="1:6" x14ac:dyDescent="0.2">
      <c r="A294">
        <v>293</v>
      </c>
      <c r="B294" t="s">
        <v>3662</v>
      </c>
      <c r="D294" t="s">
        <v>3959</v>
      </c>
      <c r="E294" t="s">
        <v>3221</v>
      </c>
      <c r="F294">
        <v>29.09</v>
      </c>
    </row>
    <row r="295" spans="1:6" x14ac:dyDescent="0.2">
      <c r="A295">
        <v>294</v>
      </c>
      <c r="B295" t="s">
        <v>3662</v>
      </c>
      <c r="D295" t="s">
        <v>3960</v>
      </c>
      <c r="E295" t="s">
        <v>3221</v>
      </c>
      <c r="F295">
        <v>29.09</v>
      </c>
    </row>
    <row r="296" spans="1:6" x14ac:dyDescent="0.2">
      <c r="A296">
        <v>295</v>
      </c>
      <c r="B296" t="s">
        <v>3662</v>
      </c>
      <c r="D296" t="s">
        <v>3961</v>
      </c>
      <c r="E296" t="s">
        <v>3221</v>
      </c>
      <c r="F296">
        <v>29.09</v>
      </c>
    </row>
    <row r="297" spans="1:6" x14ac:dyDescent="0.2">
      <c r="A297">
        <v>296</v>
      </c>
      <c r="B297" t="s">
        <v>3662</v>
      </c>
      <c r="D297" t="s">
        <v>3962</v>
      </c>
      <c r="E297" t="s">
        <v>3221</v>
      </c>
      <c r="F297">
        <v>29.09</v>
      </c>
    </row>
    <row r="298" spans="1:6" x14ac:dyDescent="0.2">
      <c r="A298">
        <v>297</v>
      </c>
      <c r="B298" t="s">
        <v>3662</v>
      </c>
      <c r="D298" t="s">
        <v>3963</v>
      </c>
      <c r="E298" t="s">
        <v>3221</v>
      </c>
      <c r="F298">
        <v>29.09</v>
      </c>
    </row>
    <row r="299" spans="1:6" x14ac:dyDescent="0.2">
      <c r="A299">
        <v>298</v>
      </c>
      <c r="B299" t="s">
        <v>3662</v>
      </c>
      <c r="D299" t="s">
        <v>3964</v>
      </c>
      <c r="E299" t="s">
        <v>3221</v>
      </c>
      <c r="F299">
        <v>29.09</v>
      </c>
    </row>
    <row r="300" spans="1:6" x14ac:dyDescent="0.2">
      <c r="A300">
        <v>299</v>
      </c>
      <c r="B300" t="s">
        <v>3662</v>
      </c>
      <c r="D300" t="s">
        <v>3965</v>
      </c>
      <c r="E300" t="s">
        <v>3221</v>
      </c>
      <c r="F300">
        <v>29.09</v>
      </c>
    </row>
    <row r="301" spans="1:6" x14ac:dyDescent="0.2">
      <c r="A301">
        <v>300</v>
      </c>
      <c r="B301" t="s">
        <v>3662</v>
      </c>
      <c r="D301" t="s">
        <v>3966</v>
      </c>
      <c r="E301" t="s">
        <v>3221</v>
      </c>
      <c r="F301">
        <v>29.09</v>
      </c>
    </row>
    <row r="302" spans="1:6" x14ac:dyDescent="0.2">
      <c r="A302">
        <v>301</v>
      </c>
      <c r="B302" t="s">
        <v>3662</v>
      </c>
      <c r="D302" t="s">
        <v>3967</v>
      </c>
      <c r="E302" t="s">
        <v>3221</v>
      </c>
      <c r="F302">
        <v>29.09</v>
      </c>
    </row>
    <row r="303" spans="1:6" x14ac:dyDescent="0.2">
      <c r="A303">
        <v>302</v>
      </c>
      <c r="B303" t="s">
        <v>3662</v>
      </c>
      <c r="D303" t="s">
        <v>3968</v>
      </c>
      <c r="E303" t="s">
        <v>3221</v>
      </c>
      <c r="F303">
        <v>29.09</v>
      </c>
    </row>
    <row r="304" spans="1:6" x14ac:dyDescent="0.2">
      <c r="A304">
        <v>303</v>
      </c>
      <c r="B304" t="s">
        <v>3662</v>
      </c>
      <c r="D304" t="s">
        <v>3969</v>
      </c>
      <c r="E304" t="s">
        <v>3221</v>
      </c>
      <c r="F304">
        <v>29.09</v>
      </c>
    </row>
    <row r="305" spans="1:6" x14ac:dyDescent="0.2">
      <c r="A305">
        <v>304</v>
      </c>
      <c r="B305" t="s">
        <v>3662</v>
      </c>
      <c r="D305" t="s">
        <v>3970</v>
      </c>
      <c r="E305" t="s">
        <v>3221</v>
      </c>
      <c r="F305">
        <v>29.09</v>
      </c>
    </row>
    <row r="306" spans="1:6" x14ac:dyDescent="0.2">
      <c r="A306">
        <v>305</v>
      </c>
      <c r="B306" t="s">
        <v>3662</v>
      </c>
      <c r="D306" t="s">
        <v>3971</v>
      </c>
      <c r="E306" t="s">
        <v>3221</v>
      </c>
      <c r="F306">
        <v>29.09</v>
      </c>
    </row>
    <row r="307" spans="1:6" x14ac:dyDescent="0.2">
      <c r="A307">
        <v>306</v>
      </c>
      <c r="B307" t="s">
        <v>3662</v>
      </c>
      <c r="D307" t="s">
        <v>3972</v>
      </c>
      <c r="E307" t="s">
        <v>3221</v>
      </c>
      <c r="F307">
        <v>29.09</v>
      </c>
    </row>
    <row r="308" spans="1:6" x14ac:dyDescent="0.2">
      <c r="A308">
        <v>307</v>
      </c>
      <c r="B308" t="s">
        <v>3662</v>
      </c>
      <c r="D308" t="s">
        <v>3973</v>
      </c>
      <c r="E308" t="s">
        <v>3221</v>
      </c>
      <c r="F308">
        <v>29.09</v>
      </c>
    </row>
    <row r="309" spans="1:6" x14ac:dyDescent="0.2">
      <c r="A309">
        <v>308</v>
      </c>
      <c r="B309" t="s">
        <v>3662</v>
      </c>
      <c r="D309" t="s">
        <v>3974</v>
      </c>
      <c r="E309" t="s">
        <v>3221</v>
      </c>
      <c r="F309">
        <v>37.869999999999997</v>
      </c>
    </row>
    <row r="310" spans="1:6" x14ac:dyDescent="0.2">
      <c r="A310">
        <v>309</v>
      </c>
      <c r="B310" t="s">
        <v>3662</v>
      </c>
      <c r="D310" t="s">
        <v>3975</v>
      </c>
      <c r="E310" t="s">
        <v>3221</v>
      </c>
      <c r="F310">
        <v>29.09</v>
      </c>
    </row>
    <row r="311" spans="1:6" x14ac:dyDescent="0.2">
      <c r="A311">
        <v>310</v>
      </c>
      <c r="B311" t="s">
        <v>3662</v>
      </c>
      <c r="D311" t="s">
        <v>3976</v>
      </c>
      <c r="E311" t="s">
        <v>3221</v>
      </c>
      <c r="F311">
        <v>29.09</v>
      </c>
    </row>
    <row r="312" spans="1:6" x14ac:dyDescent="0.2">
      <c r="A312">
        <v>311</v>
      </c>
      <c r="B312" t="s">
        <v>3662</v>
      </c>
      <c r="D312" t="s">
        <v>3977</v>
      </c>
      <c r="E312" t="s">
        <v>3221</v>
      </c>
      <c r="F312">
        <v>29.09</v>
      </c>
    </row>
    <row r="313" spans="1:6" x14ac:dyDescent="0.2">
      <c r="A313">
        <v>312</v>
      </c>
      <c r="B313" t="s">
        <v>3662</v>
      </c>
      <c r="D313" t="s">
        <v>3978</v>
      </c>
      <c r="E313" t="s">
        <v>3221</v>
      </c>
      <c r="F313">
        <v>29.09</v>
      </c>
    </row>
    <row r="314" spans="1:6" x14ac:dyDescent="0.2">
      <c r="A314">
        <v>313</v>
      </c>
      <c r="B314" t="s">
        <v>3662</v>
      </c>
      <c r="D314" t="s">
        <v>3979</v>
      </c>
      <c r="E314" t="s">
        <v>3221</v>
      </c>
      <c r="F314">
        <v>29.09</v>
      </c>
    </row>
    <row r="315" spans="1:6" x14ac:dyDescent="0.2">
      <c r="A315">
        <v>314</v>
      </c>
      <c r="B315" t="s">
        <v>3662</v>
      </c>
      <c r="D315" t="s">
        <v>3980</v>
      </c>
      <c r="E315" t="s">
        <v>3221</v>
      </c>
      <c r="F315">
        <v>29.09</v>
      </c>
    </row>
    <row r="316" spans="1:6" x14ac:dyDescent="0.2">
      <c r="A316">
        <v>315</v>
      </c>
      <c r="B316" t="s">
        <v>3662</v>
      </c>
      <c r="D316" t="s">
        <v>3981</v>
      </c>
      <c r="E316" t="s">
        <v>3221</v>
      </c>
      <c r="F316">
        <v>29.09</v>
      </c>
    </row>
    <row r="317" spans="1:6" x14ac:dyDescent="0.2">
      <c r="A317">
        <v>316</v>
      </c>
      <c r="B317" t="s">
        <v>3662</v>
      </c>
      <c r="D317" t="s">
        <v>3982</v>
      </c>
      <c r="E317" t="s">
        <v>3221</v>
      </c>
      <c r="F317">
        <v>29.09</v>
      </c>
    </row>
    <row r="318" spans="1:6" x14ac:dyDescent="0.2">
      <c r="A318">
        <v>317</v>
      </c>
      <c r="B318" t="s">
        <v>3662</v>
      </c>
      <c r="D318" t="s">
        <v>3983</v>
      </c>
      <c r="E318" t="s">
        <v>3221</v>
      </c>
      <c r="F318">
        <v>29.09</v>
      </c>
    </row>
    <row r="319" spans="1:6" x14ac:dyDescent="0.2">
      <c r="A319">
        <v>318</v>
      </c>
      <c r="B319" t="s">
        <v>3662</v>
      </c>
      <c r="D319" t="s">
        <v>3984</v>
      </c>
      <c r="E319" t="s">
        <v>3221</v>
      </c>
      <c r="F319">
        <v>29.09</v>
      </c>
    </row>
    <row r="320" spans="1:6" x14ac:dyDescent="0.2">
      <c r="A320">
        <v>319</v>
      </c>
      <c r="B320" t="s">
        <v>3662</v>
      </c>
      <c r="D320" t="s">
        <v>3985</v>
      </c>
      <c r="E320" t="s">
        <v>3221</v>
      </c>
      <c r="F320">
        <v>29.09</v>
      </c>
    </row>
    <row r="321" spans="1:6" x14ac:dyDescent="0.2">
      <c r="A321">
        <v>320</v>
      </c>
      <c r="B321" t="s">
        <v>3662</v>
      </c>
      <c r="D321" t="s">
        <v>3986</v>
      </c>
      <c r="E321" t="s">
        <v>3221</v>
      </c>
      <c r="F321">
        <v>29.09</v>
      </c>
    </row>
    <row r="322" spans="1:6" x14ac:dyDescent="0.2">
      <c r="A322">
        <v>321</v>
      </c>
      <c r="B322" t="s">
        <v>3662</v>
      </c>
      <c r="D322" t="s">
        <v>3987</v>
      </c>
      <c r="E322" t="s">
        <v>3221</v>
      </c>
      <c r="F322">
        <v>29.09</v>
      </c>
    </row>
    <row r="323" spans="1:6" x14ac:dyDescent="0.2">
      <c r="A323">
        <v>322</v>
      </c>
      <c r="B323" t="s">
        <v>3662</v>
      </c>
      <c r="D323" t="s">
        <v>3988</v>
      </c>
      <c r="E323" t="s">
        <v>3221</v>
      </c>
      <c r="F323">
        <v>29.09</v>
      </c>
    </row>
    <row r="324" spans="1:6" x14ac:dyDescent="0.2">
      <c r="A324">
        <v>323</v>
      </c>
      <c r="B324" t="s">
        <v>3662</v>
      </c>
      <c r="D324" t="s">
        <v>3989</v>
      </c>
      <c r="E324" t="s">
        <v>3221</v>
      </c>
      <c r="F324">
        <v>29.09</v>
      </c>
    </row>
    <row r="325" spans="1:6" x14ac:dyDescent="0.2">
      <c r="A325">
        <v>324</v>
      </c>
      <c r="B325" t="s">
        <v>3662</v>
      </c>
      <c r="D325" t="s">
        <v>3990</v>
      </c>
      <c r="E325" t="s">
        <v>3221</v>
      </c>
      <c r="F325">
        <v>29.09</v>
      </c>
    </row>
    <row r="326" spans="1:6" x14ac:dyDescent="0.2">
      <c r="A326">
        <v>325</v>
      </c>
      <c r="B326" t="s">
        <v>3662</v>
      </c>
      <c r="D326" t="s">
        <v>3991</v>
      </c>
      <c r="E326" t="s">
        <v>3221</v>
      </c>
      <c r="F326">
        <v>29.09</v>
      </c>
    </row>
    <row r="327" spans="1:6" x14ac:dyDescent="0.2">
      <c r="A327">
        <v>326</v>
      </c>
      <c r="B327" t="s">
        <v>3662</v>
      </c>
      <c r="D327" t="s">
        <v>3992</v>
      </c>
      <c r="E327" t="s">
        <v>3221</v>
      </c>
      <c r="F327">
        <v>29.09</v>
      </c>
    </row>
    <row r="328" spans="1:6" x14ac:dyDescent="0.2">
      <c r="A328">
        <v>327</v>
      </c>
      <c r="B328" t="s">
        <v>3662</v>
      </c>
      <c r="D328" t="s">
        <v>3993</v>
      </c>
      <c r="E328" t="s">
        <v>3221</v>
      </c>
      <c r="F328">
        <v>29.09</v>
      </c>
    </row>
    <row r="329" spans="1:6" x14ac:dyDescent="0.2">
      <c r="A329">
        <v>328</v>
      </c>
      <c r="B329" t="s">
        <v>3662</v>
      </c>
      <c r="D329" t="s">
        <v>3994</v>
      </c>
      <c r="E329" t="s">
        <v>3221</v>
      </c>
      <c r="F329">
        <v>29.09</v>
      </c>
    </row>
    <row r="330" spans="1:6" x14ac:dyDescent="0.2">
      <c r="A330">
        <v>329</v>
      </c>
      <c r="B330" t="s">
        <v>3662</v>
      </c>
      <c r="D330" t="s">
        <v>3995</v>
      </c>
      <c r="E330" t="s">
        <v>3221</v>
      </c>
      <c r="F330">
        <v>29.09</v>
      </c>
    </row>
    <row r="331" spans="1:6" x14ac:dyDescent="0.2">
      <c r="A331">
        <v>330</v>
      </c>
      <c r="B331" t="s">
        <v>3662</v>
      </c>
      <c r="D331" t="s">
        <v>3996</v>
      </c>
      <c r="E331" t="s">
        <v>3221</v>
      </c>
      <c r="F331">
        <v>29.09</v>
      </c>
    </row>
    <row r="332" spans="1:6" x14ac:dyDescent="0.2">
      <c r="A332">
        <v>331</v>
      </c>
      <c r="B332" t="s">
        <v>3662</v>
      </c>
      <c r="D332" t="s">
        <v>3997</v>
      </c>
      <c r="E332" t="s">
        <v>3221</v>
      </c>
      <c r="F332">
        <v>29.09</v>
      </c>
    </row>
    <row r="333" spans="1:6" x14ac:dyDescent="0.2">
      <c r="A333">
        <v>332</v>
      </c>
      <c r="B333" t="s">
        <v>3662</v>
      </c>
      <c r="D333" t="s">
        <v>3998</v>
      </c>
      <c r="E333" t="s">
        <v>3221</v>
      </c>
      <c r="F333">
        <v>29.09</v>
      </c>
    </row>
    <row r="334" spans="1:6" x14ac:dyDescent="0.2">
      <c r="A334">
        <v>333</v>
      </c>
      <c r="B334" t="s">
        <v>3662</v>
      </c>
      <c r="D334" t="s">
        <v>3999</v>
      </c>
      <c r="E334" t="s">
        <v>3221</v>
      </c>
      <c r="F334">
        <v>29.09</v>
      </c>
    </row>
    <row r="335" spans="1:6" x14ac:dyDescent="0.2">
      <c r="A335">
        <v>334</v>
      </c>
      <c r="B335" t="s">
        <v>3662</v>
      </c>
      <c r="D335" t="s">
        <v>4000</v>
      </c>
      <c r="E335" t="s">
        <v>3221</v>
      </c>
      <c r="F335">
        <v>29.09</v>
      </c>
    </row>
    <row r="336" spans="1:6" x14ac:dyDescent="0.2">
      <c r="A336">
        <v>335</v>
      </c>
      <c r="B336" t="s">
        <v>3662</v>
      </c>
      <c r="D336" t="s">
        <v>4001</v>
      </c>
      <c r="E336" t="s">
        <v>3221</v>
      </c>
      <c r="F336">
        <v>29.09</v>
      </c>
    </row>
    <row r="337" spans="1:6" x14ac:dyDescent="0.2">
      <c r="A337">
        <v>336</v>
      </c>
      <c r="B337" t="s">
        <v>3662</v>
      </c>
      <c r="D337" t="s">
        <v>4002</v>
      </c>
      <c r="E337" t="s">
        <v>3221</v>
      </c>
      <c r="F337">
        <v>29.09</v>
      </c>
    </row>
    <row r="338" spans="1:6" x14ac:dyDescent="0.2">
      <c r="A338">
        <v>337</v>
      </c>
      <c r="B338" t="s">
        <v>3662</v>
      </c>
      <c r="D338" t="s">
        <v>4003</v>
      </c>
      <c r="E338" t="s">
        <v>3221</v>
      </c>
      <c r="F338">
        <v>29.09</v>
      </c>
    </row>
    <row r="339" spans="1:6" x14ac:dyDescent="0.2">
      <c r="A339">
        <v>338</v>
      </c>
      <c r="B339" t="s">
        <v>3662</v>
      </c>
      <c r="D339" t="s">
        <v>4004</v>
      </c>
      <c r="E339" t="s">
        <v>3221</v>
      </c>
      <c r="F339">
        <v>29.09</v>
      </c>
    </row>
    <row r="340" spans="1:6" x14ac:dyDescent="0.2">
      <c r="A340">
        <v>339</v>
      </c>
      <c r="B340" t="s">
        <v>3662</v>
      </c>
      <c r="D340" t="s">
        <v>4005</v>
      </c>
      <c r="E340" t="s">
        <v>3221</v>
      </c>
      <c r="F340">
        <v>29.09</v>
      </c>
    </row>
    <row r="341" spans="1:6" x14ac:dyDescent="0.2">
      <c r="A341">
        <v>340</v>
      </c>
      <c r="B341" t="s">
        <v>3662</v>
      </c>
      <c r="D341" t="s">
        <v>4006</v>
      </c>
      <c r="E341" t="s">
        <v>3221</v>
      </c>
      <c r="F341">
        <v>29.09</v>
      </c>
    </row>
    <row r="342" spans="1:6" x14ac:dyDescent="0.2">
      <c r="A342">
        <v>341</v>
      </c>
      <c r="B342" t="s">
        <v>3662</v>
      </c>
      <c r="D342" t="s">
        <v>4007</v>
      </c>
      <c r="E342" t="s">
        <v>3221</v>
      </c>
      <c r="F342">
        <v>29.09</v>
      </c>
    </row>
    <row r="343" spans="1:6" x14ac:dyDescent="0.2">
      <c r="A343">
        <v>342</v>
      </c>
      <c r="B343" t="s">
        <v>3662</v>
      </c>
      <c r="D343" t="s">
        <v>4008</v>
      </c>
      <c r="E343" t="s">
        <v>3221</v>
      </c>
      <c r="F343">
        <v>29.09</v>
      </c>
    </row>
    <row r="344" spans="1:6" x14ac:dyDescent="0.2">
      <c r="A344">
        <v>343</v>
      </c>
      <c r="B344" t="s">
        <v>3662</v>
      </c>
      <c r="D344" t="s">
        <v>4009</v>
      </c>
      <c r="E344" t="s">
        <v>3221</v>
      </c>
      <c r="F344">
        <v>29.09</v>
      </c>
    </row>
    <row r="345" spans="1:6" x14ac:dyDescent="0.2">
      <c r="A345">
        <v>344</v>
      </c>
      <c r="B345" t="s">
        <v>3662</v>
      </c>
      <c r="D345" t="s">
        <v>4010</v>
      </c>
      <c r="E345" t="s">
        <v>3221</v>
      </c>
      <c r="F345">
        <v>29.09</v>
      </c>
    </row>
    <row r="346" spans="1:6" x14ac:dyDescent="0.2">
      <c r="A346">
        <v>345</v>
      </c>
      <c r="B346" t="s">
        <v>3662</v>
      </c>
      <c r="D346" t="s">
        <v>4011</v>
      </c>
      <c r="E346" t="s">
        <v>3221</v>
      </c>
      <c r="F346">
        <v>29.09</v>
      </c>
    </row>
    <row r="347" spans="1:6" x14ac:dyDescent="0.2">
      <c r="A347">
        <v>346</v>
      </c>
      <c r="B347" t="s">
        <v>3662</v>
      </c>
      <c r="D347" t="s">
        <v>4012</v>
      </c>
      <c r="E347" t="s">
        <v>3221</v>
      </c>
      <c r="F347">
        <v>29.09</v>
      </c>
    </row>
    <row r="348" spans="1:6" x14ac:dyDescent="0.2">
      <c r="A348">
        <v>347</v>
      </c>
      <c r="B348" t="s">
        <v>3662</v>
      </c>
      <c r="D348" t="s">
        <v>4013</v>
      </c>
      <c r="E348" t="s">
        <v>3221</v>
      </c>
      <c r="F348">
        <v>29.09</v>
      </c>
    </row>
    <row r="349" spans="1:6" x14ac:dyDescent="0.2">
      <c r="A349">
        <v>348</v>
      </c>
      <c r="B349" t="s">
        <v>3662</v>
      </c>
      <c r="D349" t="s">
        <v>4014</v>
      </c>
      <c r="E349" t="s">
        <v>3221</v>
      </c>
      <c r="F349">
        <v>29.09</v>
      </c>
    </row>
    <row r="350" spans="1:6" x14ac:dyDescent="0.2">
      <c r="A350">
        <v>349</v>
      </c>
      <c r="B350" t="s">
        <v>3662</v>
      </c>
      <c r="D350" t="s">
        <v>4015</v>
      </c>
      <c r="E350" t="s">
        <v>3221</v>
      </c>
      <c r="F350">
        <v>29.09</v>
      </c>
    </row>
    <row r="351" spans="1:6" x14ac:dyDescent="0.2">
      <c r="A351">
        <v>350</v>
      </c>
      <c r="B351" t="s">
        <v>3662</v>
      </c>
      <c r="D351" t="s">
        <v>4016</v>
      </c>
      <c r="E351" t="s">
        <v>3221</v>
      </c>
      <c r="F351">
        <v>29.09</v>
      </c>
    </row>
    <row r="352" spans="1:6" x14ac:dyDescent="0.2">
      <c r="A352">
        <v>351</v>
      </c>
      <c r="B352" t="s">
        <v>3662</v>
      </c>
      <c r="D352" t="s">
        <v>4017</v>
      </c>
      <c r="E352" t="s">
        <v>3221</v>
      </c>
      <c r="F352">
        <v>29.09</v>
      </c>
    </row>
    <row r="353" spans="1:6" x14ac:dyDescent="0.2">
      <c r="A353">
        <v>352</v>
      </c>
      <c r="B353" t="s">
        <v>3662</v>
      </c>
      <c r="D353" t="s">
        <v>4018</v>
      </c>
      <c r="E353" t="s">
        <v>3221</v>
      </c>
      <c r="F353">
        <v>29.09</v>
      </c>
    </row>
    <row r="354" spans="1:6" x14ac:dyDescent="0.2">
      <c r="A354">
        <v>353</v>
      </c>
      <c r="B354" t="s">
        <v>3662</v>
      </c>
      <c r="D354" t="s">
        <v>4019</v>
      </c>
      <c r="E354" t="s">
        <v>3221</v>
      </c>
      <c r="F354">
        <v>29.09</v>
      </c>
    </row>
    <row r="355" spans="1:6" x14ac:dyDescent="0.2">
      <c r="A355">
        <v>354</v>
      </c>
      <c r="B355" t="s">
        <v>3662</v>
      </c>
      <c r="D355" t="s">
        <v>4020</v>
      </c>
      <c r="E355" t="s">
        <v>3221</v>
      </c>
      <c r="F355">
        <v>29.09</v>
      </c>
    </row>
    <row r="356" spans="1:6" x14ac:dyDescent="0.2">
      <c r="A356">
        <v>355</v>
      </c>
      <c r="B356" t="s">
        <v>3662</v>
      </c>
      <c r="D356" t="s">
        <v>4021</v>
      </c>
      <c r="E356" t="s">
        <v>3221</v>
      </c>
      <c r="F356">
        <v>29.09</v>
      </c>
    </row>
    <row r="357" spans="1:6" x14ac:dyDescent="0.2">
      <c r="A357">
        <v>356</v>
      </c>
      <c r="B357" t="s">
        <v>3662</v>
      </c>
      <c r="D357" t="s">
        <v>4022</v>
      </c>
      <c r="E357" t="s">
        <v>3221</v>
      </c>
      <c r="F357">
        <v>29.09</v>
      </c>
    </row>
    <row r="358" spans="1:6" x14ac:dyDescent="0.2">
      <c r="A358">
        <v>357</v>
      </c>
      <c r="B358" t="s">
        <v>3662</v>
      </c>
      <c r="D358" t="s">
        <v>4023</v>
      </c>
      <c r="E358" t="s">
        <v>3221</v>
      </c>
      <c r="F358">
        <v>29.09</v>
      </c>
    </row>
    <row r="359" spans="1:6" x14ac:dyDescent="0.2">
      <c r="A359">
        <v>358</v>
      </c>
      <c r="B359" t="s">
        <v>3662</v>
      </c>
      <c r="D359" t="s">
        <v>4024</v>
      </c>
      <c r="E359" t="s">
        <v>3221</v>
      </c>
      <c r="F359">
        <v>29.09</v>
      </c>
    </row>
    <row r="360" spans="1:6" x14ac:dyDescent="0.2">
      <c r="A360">
        <v>359</v>
      </c>
      <c r="B360" t="s">
        <v>3662</v>
      </c>
      <c r="D360" t="s">
        <v>4025</v>
      </c>
      <c r="E360" t="s">
        <v>3221</v>
      </c>
      <c r="F360">
        <v>29.09</v>
      </c>
    </row>
    <row r="361" spans="1:6" x14ac:dyDescent="0.2">
      <c r="A361">
        <v>360</v>
      </c>
      <c r="B361" t="s">
        <v>3662</v>
      </c>
      <c r="D361" t="s">
        <v>4026</v>
      </c>
      <c r="E361" t="s">
        <v>3221</v>
      </c>
      <c r="F361">
        <v>29.09</v>
      </c>
    </row>
    <row r="362" spans="1:6" x14ac:dyDescent="0.2">
      <c r="A362">
        <v>361</v>
      </c>
      <c r="B362" t="s">
        <v>3662</v>
      </c>
      <c r="D362" t="s">
        <v>4027</v>
      </c>
      <c r="E362" t="s">
        <v>3221</v>
      </c>
      <c r="F362">
        <v>29.09</v>
      </c>
    </row>
    <row r="363" spans="1:6" x14ac:dyDescent="0.2">
      <c r="A363">
        <v>362</v>
      </c>
      <c r="B363" t="s">
        <v>3662</v>
      </c>
      <c r="D363" t="s">
        <v>4028</v>
      </c>
      <c r="E363" t="s">
        <v>3221</v>
      </c>
      <c r="F363">
        <v>29.09</v>
      </c>
    </row>
    <row r="364" spans="1:6" x14ac:dyDescent="0.2">
      <c r="A364">
        <v>363</v>
      </c>
      <c r="B364" t="s">
        <v>3662</v>
      </c>
      <c r="D364" t="s">
        <v>4029</v>
      </c>
      <c r="E364" t="s">
        <v>3221</v>
      </c>
      <c r="F364">
        <v>29.09</v>
      </c>
    </row>
    <row r="365" spans="1:6" x14ac:dyDescent="0.2">
      <c r="A365">
        <v>364</v>
      </c>
      <c r="B365" t="s">
        <v>3662</v>
      </c>
      <c r="D365" t="s">
        <v>4030</v>
      </c>
      <c r="E365" t="s">
        <v>3221</v>
      </c>
      <c r="F365">
        <v>29.09</v>
      </c>
    </row>
    <row r="366" spans="1:6" x14ac:dyDescent="0.2">
      <c r="A366">
        <v>365</v>
      </c>
      <c r="B366" t="s">
        <v>3662</v>
      </c>
      <c r="D366" t="s">
        <v>4031</v>
      </c>
      <c r="E366" t="s">
        <v>3221</v>
      </c>
      <c r="F366">
        <v>29.09</v>
      </c>
    </row>
    <row r="367" spans="1:6" x14ac:dyDescent="0.2">
      <c r="A367">
        <v>366</v>
      </c>
      <c r="B367" t="s">
        <v>3662</v>
      </c>
      <c r="D367" t="s">
        <v>4032</v>
      </c>
      <c r="E367" t="s">
        <v>3221</v>
      </c>
      <c r="F367">
        <v>29.09</v>
      </c>
    </row>
    <row r="368" spans="1:6" x14ac:dyDescent="0.2">
      <c r="A368">
        <v>367</v>
      </c>
      <c r="B368" t="s">
        <v>3662</v>
      </c>
      <c r="D368" t="s">
        <v>4033</v>
      </c>
      <c r="E368" t="s">
        <v>3221</v>
      </c>
      <c r="F368">
        <v>29.09</v>
      </c>
    </row>
    <row r="369" spans="1:6" x14ac:dyDescent="0.2">
      <c r="A369">
        <v>368</v>
      </c>
      <c r="B369" t="s">
        <v>3662</v>
      </c>
      <c r="D369" t="s">
        <v>4034</v>
      </c>
      <c r="E369" t="s">
        <v>3221</v>
      </c>
      <c r="F369">
        <v>29.09</v>
      </c>
    </row>
    <row r="370" spans="1:6" x14ac:dyDescent="0.2">
      <c r="A370">
        <v>369</v>
      </c>
      <c r="B370" t="s">
        <v>3662</v>
      </c>
      <c r="D370" t="s">
        <v>4035</v>
      </c>
      <c r="E370" t="s">
        <v>3221</v>
      </c>
      <c r="F370">
        <v>29.09</v>
      </c>
    </row>
    <row r="371" spans="1:6" x14ac:dyDescent="0.2">
      <c r="A371">
        <v>370</v>
      </c>
      <c r="B371" t="s">
        <v>3662</v>
      </c>
      <c r="D371" t="s">
        <v>4036</v>
      </c>
      <c r="E371" t="s">
        <v>3221</v>
      </c>
      <c r="F371">
        <v>29.09</v>
      </c>
    </row>
    <row r="372" spans="1:6" x14ac:dyDescent="0.2">
      <c r="A372">
        <v>371</v>
      </c>
      <c r="B372" t="s">
        <v>3662</v>
      </c>
      <c r="D372" t="s">
        <v>4037</v>
      </c>
      <c r="E372" t="s">
        <v>3221</v>
      </c>
      <c r="F372">
        <v>29.09</v>
      </c>
    </row>
    <row r="373" spans="1:6" x14ac:dyDescent="0.2">
      <c r="A373">
        <v>372</v>
      </c>
      <c r="B373" t="s">
        <v>3662</v>
      </c>
      <c r="D373" t="s">
        <v>4038</v>
      </c>
      <c r="E373" t="s">
        <v>3221</v>
      </c>
      <c r="F373">
        <v>29.09</v>
      </c>
    </row>
    <row r="374" spans="1:6" x14ac:dyDescent="0.2">
      <c r="A374">
        <v>373</v>
      </c>
      <c r="B374" t="s">
        <v>3662</v>
      </c>
      <c r="D374" t="s">
        <v>4039</v>
      </c>
      <c r="E374" t="s">
        <v>3221</v>
      </c>
      <c r="F374">
        <v>29.09</v>
      </c>
    </row>
    <row r="375" spans="1:6" x14ac:dyDescent="0.2">
      <c r="A375">
        <v>374</v>
      </c>
      <c r="B375" t="s">
        <v>3662</v>
      </c>
      <c r="D375" t="s">
        <v>4040</v>
      </c>
      <c r="E375" t="s">
        <v>3221</v>
      </c>
      <c r="F375">
        <v>29.09</v>
      </c>
    </row>
    <row r="376" spans="1:6" x14ac:dyDescent="0.2">
      <c r="A376">
        <v>375</v>
      </c>
      <c r="B376" t="s">
        <v>3662</v>
      </c>
      <c r="D376" t="s">
        <v>4041</v>
      </c>
      <c r="E376" t="s">
        <v>3221</v>
      </c>
      <c r="F376">
        <v>29.09</v>
      </c>
    </row>
    <row r="377" spans="1:6" x14ac:dyDescent="0.2">
      <c r="A377">
        <v>376</v>
      </c>
      <c r="B377" t="s">
        <v>3662</v>
      </c>
      <c r="D377" t="s">
        <v>4042</v>
      </c>
      <c r="E377" t="s">
        <v>3221</v>
      </c>
      <c r="F377">
        <v>29.09</v>
      </c>
    </row>
    <row r="378" spans="1:6" x14ac:dyDescent="0.2">
      <c r="A378">
        <v>377</v>
      </c>
      <c r="B378" t="s">
        <v>3662</v>
      </c>
      <c r="D378" t="s">
        <v>4043</v>
      </c>
      <c r="E378" t="s">
        <v>3221</v>
      </c>
      <c r="F378">
        <v>29.09</v>
      </c>
    </row>
    <row r="379" spans="1:6" x14ac:dyDescent="0.2">
      <c r="A379">
        <v>378</v>
      </c>
      <c r="B379" t="s">
        <v>3662</v>
      </c>
      <c r="D379" t="s">
        <v>4044</v>
      </c>
      <c r="E379" t="s">
        <v>3221</v>
      </c>
      <c r="F379">
        <v>29.09</v>
      </c>
    </row>
    <row r="380" spans="1:6" x14ac:dyDescent="0.2">
      <c r="A380">
        <v>379</v>
      </c>
      <c r="B380" t="s">
        <v>3662</v>
      </c>
      <c r="D380" t="s">
        <v>4045</v>
      </c>
      <c r="E380" t="s">
        <v>3221</v>
      </c>
      <c r="F380">
        <v>29.09</v>
      </c>
    </row>
    <row r="381" spans="1:6" x14ac:dyDescent="0.2">
      <c r="A381">
        <v>380</v>
      </c>
      <c r="B381" t="s">
        <v>3662</v>
      </c>
      <c r="D381" t="s">
        <v>4046</v>
      </c>
      <c r="E381" t="s">
        <v>3221</v>
      </c>
      <c r="F381">
        <v>29.09</v>
      </c>
    </row>
    <row r="382" spans="1:6" x14ac:dyDescent="0.2">
      <c r="A382">
        <v>381</v>
      </c>
      <c r="B382" t="s">
        <v>3662</v>
      </c>
      <c r="D382" t="s">
        <v>4047</v>
      </c>
      <c r="E382" t="s">
        <v>3221</v>
      </c>
      <c r="F382">
        <v>29.09</v>
      </c>
    </row>
    <row r="383" spans="1:6" x14ac:dyDescent="0.2">
      <c r="A383">
        <v>382</v>
      </c>
      <c r="B383" t="s">
        <v>3662</v>
      </c>
      <c r="D383" t="s">
        <v>4048</v>
      </c>
      <c r="E383" t="s">
        <v>3221</v>
      </c>
      <c r="F383">
        <v>29.09</v>
      </c>
    </row>
    <row r="384" spans="1:6" x14ac:dyDescent="0.2">
      <c r="A384">
        <v>383</v>
      </c>
      <c r="B384" t="s">
        <v>3662</v>
      </c>
      <c r="D384" t="s">
        <v>4049</v>
      </c>
      <c r="E384" t="s">
        <v>3221</v>
      </c>
      <c r="F384">
        <v>29.09</v>
      </c>
    </row>
    <row r="385" spans="1:6" x14ac:dyDescent="0.2">
      <c r="A385">
        <v>384</v>
      </c>
      <c r="B385" t="s">
        <v>3662</v>
      </c>
      <c r="D385" t="s">
        <v>4050</v>
      </c>
      <c r="E385" t="s">
        <v>3221</v>
      </c>
      <c r="F385">
        <v>29.09</v>
      </c>
    </row>
    <row r="386" spans="1:6" x14ac:dyDescent="0.2">
      <c r="A386">
        <v>385</v>
      </c>
      <c r="B386" t="s">
        <v>3662</v>
      </c>
      <c r="D386" t="s">
        <v>4051</v>
      </c>
      <c r="E386" t="s">
        <v>3221</v>
      </c>
      <c r="F386">
        <v>29.09</v>
      </c>
    </row>
    <row r="387" spans="1:6" x14ac:dyDescent="0.2">
      <c r="A387">
        <v>386</v>
      </c>
      <c r="B387" t="s">
        <v>3662</v>
      </c>
      <c r="D387" t="s">
        <v>4052</v>
      </c>
      <c r="E387" t="s">
        <v>3221</v>
      </c>
      <c r="F387">
        <v>29.09</v>
      </c>
    </row>
    <row r="388" spans="1:6" x14ac:dyDescent="0.2">
      <c r="A388">
        <v>387</v>
      </c>
      <c r="B388" t="s">
        <v>3662</v>
      </c>
      <c r="D388" t="s">
        <v>4053</v>
      </c>
      <c r="E388" t="s">
        <v>3221</v>
      </c>
      <c r="F388">
        <v>29.09</v>
      </c>
    </row>
    <row r="389" spans="1:6" x14ac:dyDescent="0.2">
      <c r="A389">
        <v>388</v>
      </c>
      <c r="B389" t="s">
        <v>3662</v>
      </c>
      <c r="D389" t="s">
        <v>4054</v>
      </c>
      <c r="E389" t="s">
        <v>3221</v>
      </c>
      <c r="F389">
        <v>29.09</v>
      </c>
    </row>
    <row r="390" spans="1:6" x14ac:dyDescent="0.2">
      <c r="A390">
        <v>389</v>
      </c>
      <c r="B390" t="s">
        <v>3662</v>
      </c>
      <c r="D390" t="s">
        <v>4055</v>
      </c>
      <c r="E390" t="s">
        <v>3221</v>
      </c>
      <c r="F390">
        <v>29.09</v>
      </c>
    </row>
    <row r="391" spans="1:6" x14ac:dyDescent="0.2">
      <c r="A391">
        <v>390</v>
      </c>
      <c r="B391" t="s">
        <v>3662</v>
      </c>
      <c r="D391" t="s">
        <v>4056</v>
      </c>
      <c r="E391" t="s">
        <v>3221</v>
      </c>
      <c r="F391">
        <v>29.09</v>
      </c>
    </row>
    <row r="392" spans="1:6" x14ac:dyDescent="0.2">
      <c r="A392">
        <v>391</v>
      </c>
      <c r="B392" t="s">
        <v>3662</v>
      </c>
      <c r="D392" t="s">
        <v>4057</v>
      </c>
      <c r="E392" t="s">
        <v>3221</v>
      </c>
      <c r="F392">
        <v>29.09</v>
      </c>
    </row>
    <row r="393" spans="1:6" x14ac:dyDescent="0.2">
      <c r="A393">
        <v>392</v>
      </c>
      <c r="B393" t="s">
        <v>3662</v>
      </c>
      <c r="D393" t="s">
        <v>4058</v>
      </c>
      <c r="E393" t="s">
        <v>3221</v>
      </c>
      <c r="F393">
        <v>29.09</v>
      </c>
    </row>
    <row r="394" spans="1:6" x14ac:dyDescent="0.2">
      <c r="A394">
        <v>393</v>
      </c>
      <c r="B394" t="s">
        <v>3662</v>
      </c>
      <c r="D394" t="s">
        <v>4059</v>
      </c>
      <c r="E394" t="s">
        <v>3221</v>
      </c>
      <c r="F394">
        <v>29.09</v>
      </c>
    </row>
    <row r="395" spans="1:6" x14ac:dyDescent="0.2">
      <c r="A395">
        <v>394</v>
      </c>
      <c r="B395" t="s">
        <v>3662</v>
      </c>
      <c r="D395" t="s">
        <v>4060</v>
      </c>
      <c r="E395" t="s">
        <v>3221</v>
      </c>
      <c r="F395">
        <v>29.09</v>
      </c>
    </row>
    <row r="396" spans="1:6" x14ac:dyDescent="0.2">
      <c r="A396">
        <v>395</v>
      </c>
      <c r="B396" t="s">
        <v>3662</v>
      </c>
      <c r="D396" t="s">
        <v>4061</v>
      </c>
      <c r="E396" t="s">
        <v>3221</v>
      </c>
      <c r="F396">
        <v>29.09</v>
      </c>
    </row>
    <row r="397" spans="1:6" x14ac:dyDescent="0.2">
      <c r="A397">
        <v>396</v>
      </c>
      <c r="B397" t="s">
        <v>3662</v>
      </c>
      <c r="D397" t="s">
        <v>4062</v>
      </c>
      <c r="E397" t="s">
        <v>3221</v>
      </c>
      <c r="F397">
        <v>29.09</v>
      </c>
    </row>
    <row r="398" spans="1:6" x14ac:dyDescent="0.2">
      <c r="A398">
        <v>397</v>
      </c>
      <c r="B398" t="s">
        <v>3662</v>
      </c>
      <c r="D398" t="s">
        <v>4063</v>
      </c>
      <c r="E398" t="s">
        <v>3221</v>
      </c>
      <c r="F398">
        <v>29.09</v>
      </c>
    </row>
    <row r="399" spans="1:6" x14ac:dyDescent="0.2">
      <c r="A399">
        <v>398</v>
      </c>
      <c r="B399" t="s">
        <v>3662</v>
      </c>
      <c r="D399" t="s">
        <v>4064</v>
      </c>
      <c r="E399" t="s">
        <v>3221</v>
      </c>
      <c r="F399">
        <v>29.09</v>
      </c>
    </row>
    <row r="400" spans="1:6" x14ac:dyDescent="0.2">
      <c r="A400">
        <v>399</v>
      </c>
      <c r="B400" t="s">
        <v>3662</v>
      </c>
      <c r="D400" t="s">
        <v>4065</v>
      </c>
      <c r="E400" t="s">
        <v>3221</v>
      </c>
      <c r="F400">
        <v>29.09</v>
      </c>
    </row>
    <row r="401" spans="1:6" x14ac:dyDescent="0.2">
      <c r="A401">
        <v>400</v>
      </c>
      <c r="B401" t="s">
        <v>3662</v>
      </c>
      <c r="D401" t="s">
        <v>4066</v>
      </c>
      <c r="E401" t="s">
        <v>3221</v>
      </c>
      <c r="F401">
        <v>29.09</v>
      </c>
    </row>
    <row r="402" spans="1:6" x14ac:dyDescent="0.2">
      <c r="A402">
        <v>401</v>
      </c>
      <c r="B402" t="s">
        <v>3662</v>
      </c>
      <c r="D402" t="s">
        <v>4067</v>
      </c>
      <c r="E402" t="s">
        <v>3221</v>
      </c>
      <c r="F402">
        <v>29.09</v>
      </c>
    </row>
    <row r="403" spans="1:6" x14ac:dyDescent="0.2">
      <c r="A403">
        <v>402</v>
      </c>
      <c r="B403" t="s">
        <v>3662</v>
      </c>
      <c r="D403" t="s">
        <v>4068</v>
      </c>
      <c r="E403" t="s">
        <v>3221</v>
      </c>
      <c r="F403">
        <v>29.09</v>
      </c>
    </row>
    <row r="404" spans="1:6" x14ac:dyDescent="0.2">
      <c r="A404">
        <v>403</v>
      </c>
      <c r="B404" t="s">
        <v>3662</v>
      </c>
      <c r="D404" t="s">
        <v>4069</v>
      </c>
      <c r="E404" t="s">
        <v>3221</v>
      </c>
      <c r="F404">
        <v>29.09</v>
      </c>
    </row>
    <row r="405" spans="1:6" x14ac:dyDescent="0.2">
      <c r="A405">
        <v>404</v>
      </c>
      <c r="B405" t="s">
        <v>3662</v>
      </c>
      <c r="D405" t="s">
        <v>4070</v>
      </c>
      <c r="E405" t="s">
        <v>3221</v>
      </c>
      <c r="F405">
        <v>29.09</v>
      </c>
    </row>
    <row r="406" spans="1:6" x14ac:dyDescent="0.2">
      <c r="A406">
        <v>405</v>
      </c>
      <c r="B406" t="s">
        <v>3662</v>
      </c>
      <c r="D406" t="s">
        <v>4071</v>
      </c>
      <c r="E406" t="s">
        <v>3221</v>
      </c>
      <c r="F406">
        <v>29.09</v>
      </c>
    </row>
    <row r="407" spans="1:6" x14ac:dyDescent="0.2">
      <c r="A407">
        <v>406</v>
      </c>
      <c r="B407" t="s">
        <v>3662</v>
      </c>
      <c r="D407" t="s">
        <v>4072</v>
      </c>
      <c r="E407" t="s">
        <v>3221</v>
      </c>
      <c r="F407">
        <v>29.09</v>
      </c>
    </row>
    <row r="408" spans="1:6" x14ac:dyDescent="0.2">
      <c r="A408">
        <v>407</v>
      </c>
      <c r="B408" t="s">
        <v>3662</v>
      </c>
      <c r="D408" t="s">
        <v>4073</v>
      </c>
      <c r="E408" t="s">
        <v>3221</v>
      </c>
      <c r="F408">
        <v>29.09</v>
      </c>
    </row>
    <row r="409" spans="1:6" x14ac:dyDescent="0.2">
      <c r="A409">
        <v>408</v>
      </c>
      <c r="B409" t="s">
        <v>3662</v>
      </c>
      <c r="D409" t="s">
        <v>4074</v>
      </c>
      <c r="E409" t="s">
        <v>3221</v>
      </c>
      <c r="F409">
        <v>29.09</v>
      </c>
    </row>
    <row r="410" spans="1:6" x14ac:dyDescent="0.2">
      <c r="A410">
        <v>409</v>
      </c>
      <c r="B410" t="s">
        <v>3662</v>
      </c>
      <c r="D410" t="s">
        <v>4075</v>
      </c>
      <c r="E410" t="s">
        <v>3221</v>
      </c>
      <c r="F410">
        <v>29.09</v>
      </c>
    </row>
    <row r="411" spans="1:6" x14ac:dyDescent="0.2">
      <c r="A411">
        <v>410</v>
      </c>
      <c r="B411" t="s">
        <v>3662</v>
      </c>
      <c r="D411" t="s">
        <v>4076</v>
      </c>
      <c r="E411" t="s">
        <v>3221</v>
      </c>
      <c r="F411">
        <v>29.09</v>
      </c>
    </row>
    <row r="412" spans="1:6" x14ac:dyDescent="0.2">
      <c r="A412">
        <v>411</v>
      </c>
      <c r="B412" t="s">
        <v>3662</v>
      </c>
      <c r="D412" t="s">
        <v>4077</v>
      </c>
      <c r="E412" t="s">
        <v>3221</v>
      </c>
      <c r="F412">
        <v>29.09</v>
      </c>
    </row>
    <row r="413" spans="1:6" x14ac:dyDescent="0.2">
      <c r="A413">
        <v>412</v>
      </c>
      <c r="B413" t="s">
        <v>3662</v>
      </c>
      <c r="D413" t="s">
        <v>4078</v>
      </c>
      <c r="E413" t="s">
        <v>3221</v>
      </c>
      <c r="F413">
        <v>29.09</v>
      </c>
    </row>
    <row r="414" spans="1:6" x14ac:dyDescent="0.2">
      <c r="A414">
        <v>413</v>
      </c>
      <c r="B414" t="s">
        <v>3662</v>
      </c>
      <c r="D414" t="s">
        <v>4079</v>
      </c>
      <c r="E414" t="s">
        <v>3221</v>
      </c>
      <c r="F414">
        <v>29.09</v>
      </c>
    </row>
    <row r="415" spans="1:6" x14ac:dyDescent="0.2">
      <c r="A415">
        <v>414</v>
      </c>
      <c r="B415" t="s">
        <v>3662</v>
      </c>
      <c r="D415" t="s">
        <v>4080</v>
      </c>
      <c r="E415" t="s">
        <v>3221</v>
      </c>
      <c r="F415">
        <v>29.09</v>
      </c>
    </row>
    <row r="416" spans="1:6" x14ac:dyDescent="0.2">
      <c r="A416">
        <v>415</v>
      </c>
      <c r="B416" t="s">
        <v>3662</v>
      </c>
      <c r="D416" t="s">
        <v>4081</v>
      </c>
      <c r="E416" t="s">
        <v>3221</v>
      </c>
      <c r="F416">
        <v>29.09</v>
      </c>
    </row>
    <row r="417" spans="1:6" x14ac:dyDescent="0.2">
      <c r="A417">
        <v>416</v>
      </c>
      <c r="B417" t="s">
        <v>3662</v>
      </c>
      <c r="D417" t="s">
        <v>4082</v>
      </c>
      <c r="E417" t="s">
        <v>3221</v>
      </c>
      <c r="F417">
        <v>29.09</v>
      </c>
    </row>
    <row r="418" spans="1:6" x14ac:dyDescent="0.2">
      <c r="A418">
        <v>417</v>
      </c>
      <c r="B418" t="s">
        <v>3662</v>
      </c>
      <c r="D418" t="s">
        <v>4083</v>
      </c>
      <c r="E418" t="s">
        <v>3221</v>
      </c>
      <c r="F418">
        <v>29.09</v>
      </c>
    </row>
    <row r="419" spans="1:6" x14ac:dyDescent="0.2">
      <c r="A419">
        <v>418</v>
      </c>
      <c r="B419" t="s">
        <v>3662</v>
      </c>
      <c r="D419" t="s">
        <v>4084</v>
      </c>
      <c r="E419" t="s">
        <v>3221</v>
      </c>
      <c r="F419">
        <v>29.09</v>
      </c>
    </row>
    <row r="420" spans="1:6" x14ac:dyDescent="0.2">
      <c r="A420">
        <v>419</v>
      </c>
      <c r="B420" t="s">
        <v>3662</v>
      </c>
      <c r="D420" t="s">
        <v>4085</v>
      </c>
      <c r="E420" t="s">
        <v>3221</v>
      </c>
      <c r="F420">
        <v>29.09</v>
      </c>
    </row>
    <row r="421" spans="1:6" x14ac:dyDescent="0.2">
      <c r="A421">
        <v>420</v>
      </c>
      <c r="B421" t="s">
        <v>3662</v>
      </c>
      <c r="D421" t="s">
        <v>4086</v>
      </c>
      <c r="E421" t="s">
        <v>3221</v>
      </c>
      <c r="F421">
        <v>29.09</v>
      </c>
    </row>
    <row r="422" spans="1:6" x14ac:dyDescent="0.2">
      <c r="A422">
        <v>421</v>
      </c>
      <c r="B422" t="s">
        <v>3662</v>
      </c>
      <c r="D422" t="s">
        <v>4087</v>
      </c>
      <c r="E422" t="s">
        <v>3221</v>
      </c>
      <c r="F422">
        <v>29.09</v>
      </c>
    </row>
    <row r="423" spans="1:6" x14ac:dyDescent="0.2">
      <c r="A423">
        <v>422</v>
      </c>
      <c r="B423" t="s">
        <v>3662</v>
      </c>
      <c r="D423" t="s">
        <v>4088</v>
      </c>
      <c r="E423" t="s">
        <v>3221</v>
      </c>
      <c r="F423">
        <v>29.09</v>
      </c>
    </row>
    <row r="424" spans="1:6" x14ac:dyDescent="0.2">
      <c r="A424">
        <v>423</v>
      </c>
      <c r="B424" t="s">
        <v>3662</v>
      </c>
      <c r="D424" t="s">
        <v>4089</v>
      </c>
      <c r="E424" t="s">
        <v>3221</v>
      </c>
      <c r="F424">
        <v>29.09</v>
      </c>
    </row>
    <row r="425" spans="1:6" x14ac:dyDescent="0.2">
      <c r="A425">
        <v>424</v>
      </c>
      <c r="B425" t="s">
        <v>3662</v>
      </c>
      <c r="D425" t="s">
        <v>4090</v>
      </c>
      <c r="E425" t="s">
        <v>3221</v>
      </c>
      <c r="F425">
        <v>29.09</v>
      </c>
    </row>
    <row r="426" spans="1:6" x14ac:dyDescent="0.2">
      <c r="A426">
        <v>425</v>
      </c>
      <c r="B426" t="s">
        <v>3662</v>
      </c>
      <c r="D426" t="s">
        <v>4091</v>
      </c>
      <c r="E426" t="s">
        <v>3221</v>
      </c>
      <c r="F426">
        <v>29.09</v>
      </c>
    </row>
    <row r="427" spans="1:6" x14ac:dyDescent="0.2">
      <c r="A427">
        <v>426</v>
      </c>
      <c r="B427" t="s">
        <v>3662</v>
      </c>
      <c r="D427" t="s">
        <v>4092</v>
      </c>
      <c r="E427" t="s">
        <v>3221</v>
      </c>
      <c r="F427">
        <v>29.09</v>
      </c>
    </row>
    <row r="428" spans="1:6" x14ac:dyDescent="0.2">
      <c r="A428">
        <v>427</v>
      </c>
      <c r="B428" t="s">
        <v>3662</v>
      </c>
      <c r="D428" t="s">
        <v>4093</v>
      </c>
      <c r="E428" t="s">
        <v>3221</v>
      </c>
      <c r="F428">
        <v>29.09</v>
      </c>
    </row>
    <row r="429" spans="1:6" x14ac:dyDescent="0.2">
      <c r="A429">
        <v>428</v>
      </c>
      <c r="B429" t="s">
        <v>3662</v>
      </c>
      <c r="D429" t="s">
        <v>4094</v>
      </c>
      <c r="E429" t="s">
        <v>3221</v>
      </c>
      <c r="F429">
        <v>29.09</v>
      </c>
    </row>
    <row r="430" spans="1:6" x14ac:dyDescent="0.2">
      <c r="A430">
        <v>429</v>
      </c>
      <c r="B430" t="s">
        <v>3662</v>
      </c>
      <c r="D430" t="s">
        <v>4095</v>
      </c>
      <c r="E430" t="s">
        <v>3221</v>
      </c>
      <c r="F430">
        <v>29.09</v>
      </c>
    </row>
    <row r="431" spans="1:6" x14ac:dyDescent="0.2">
      <c r="A431">
        <v>430</v>
      </c>
      <c r="B431" t="s">
        <v>3662</v>
      </c>
      <c r="D431" t="s">
        <v>4096</v>
      </c>
      <c r="E431" t="s">
        <v>3221</v>
      </c>
      <c r="F431">
        <v>29.09</v>
      </c>
    </row>
    <row r="432" spans="1:6" x14ac:dyDescent="0.2">
      <c r="A432">
        <v>431</v>
      </c>
      <c r="B432" t="s">
        <v>3662</v>
      </c>
      <c r="D432" t="s">
        <v>4097</v>
      </c>
      <c r="E432" t="s">
        <v>3221</v>
      </c>
      <c r="F432">
        <v>29.09</v>
      </c>
    </row>
    <row r="433" spans="1:6" x14ac:dyDescent="0.2">
      <c r="A433">
        <v>432</v>
      </c>
      <c r="B433" t="s">
        <v>3662</v>
      </c>
      <c r="D433" t="s">
        <v>4098</v>
      </c>
      <c r="E433" t="s">
        <v>3221</v>
      </c>
      <c r="F433">
        <v>29.09</v>
      </c>
    </row>
    <row r="434" spans="1:6" x14ac:dyDescent="0.2">
      <c r="A434">
        <v>433</v>
      </c>
      <c r="B434" t="s">
        <v>3662</v>
      </c>
      <c r="D434" t="s">
        <v>4099</v>
      </c>
      <c r="E434" t="s">
        <v>3221</v>
      </c>
      <c r="F434">
        <v>29.09</v>
      </c>
    </row>
    <row r="435" spans="1:6" x14ac:dyDescent="0.2">
      <c r="A435">
        <v>434</v>
      </c>
      <c r="B435" t="s">
        <v>3662</v>
      </c>
      <c r="D435" t="s">
        <v>4100</v>
      </c>
      <c r="E435" t="s">
        <v>3221</v>
      </c>
      <c r="F435">
        <v>29.09</v>
      </c>
    </row>
    <row r="436" spans="1:6" x14ac:dyDescent="0.2">
      <c r="A436">
        <v>435</v>
      </c>
      <c r="B436" t="s">
        <v>3662</v>
      </c>
      <c r="D436" t="s">
        <v>4101</v>
      </c>
      <c r="E436" t="s">
        <v>3221</v>
      </c>
      <c r="F436">
        <v>29.09</v>
      </c>
    </row>
    <row r="437" spans="1:6" x14ac:dyDescent="0.2">
      <c r="A437">
        <v>436</v>
      </c>
      <c r="B437" t="s">
        <v>3662</v>
      </c>
      <c r="D437" t="s">
        <v>4102</v>
      </c>
      <c r="E437" t="s">
        <v>3221</v>
      </c>
      <c r="F437">
        <v>29.09</v>
      </c>
    </row>
    <row r="438" spans="1:6" x14ac:dyDescent="0.2">
      <c r="A438">
        <v>437</v>
      </c>
      <c r="B438" t="s">
        <v>3662</v>
      </c>
      <c r="D438" t="s">
        <v>4103</v>
      </c>
      <c r="E438" t="s">
        <v>3221</v>
      </c>
      <c r="F438">
        <v>29.09</v>
      </c>
    </row>
    <row r="439" spans="1:6" x14ac:dyDescent="0.2">
      <c r="A439">
        <v>438</v>
      </c>
      <c r="B439" t="s">
        <v>3662</v>
      </c>
      <c r="D439" t="s">
        <v>4104</v>
      </c>
      <c r="E439" t="s">
        <v>3221</v>
      </c>
      <c r="F439">
        <v>29.09</v>
      </c>
    </row>
    <row r="440" spans="1:6" x14ac:dyDescent="0.2">
      <c r="A440">
        <v>439</v>
      </c>
      <c r="B440" t="s">
        <v>3662</v>
      </c>
      <c r="D440" t="s">
        <v>4105</v>
      </c>
      <c r="E440" t="s">
        <v>3221</v>
      </c>
      <c r="F440">
        <v>29.09</v>
      </c>
    </row>
    <row r="441" spans="1:6" x14ac:dyDescent="0.2">
      <c r="A441">
        <v>440</v>
      </c>
      <c r="B441" t="s">
        <v>3662</v>
      </c>
      <c r="D441" t="s">
        <v>4106</v>
      </c>
      <c r="E441" t="s">
        <v>3221</v>
      </c>
      <c r="F441">
        <v>29.09</v>
      </c>
    </row>
    <row r="442" spans="1:6" x14ac:dyDescent="0.2">
      <c r="A442">
        <v>441</v>
      </c>
      <c r="B442" t="s">
        <v>3662</v>
      </c>
      <c r="D442" t="s">
        <v>4107</v>
      </c>
      <c r="E442" t="s">
        <v>3221</v>
      </c>
      <c r="F442">
        <v>29.09</v>
      </c>
    </row>
    <row r="443" spans="1:6" x14ac:dyDescent="0.2">
      <c r="A443">
        <v>442</v>
      </c>
      <c r="B443" t="s">
        <v>3662</v>
      </c>
      <c r="D443" t="s">
        <v>4108</v>
      </c>
      <c r="E443" t="s">
        <v>3221</v>
      </c>
      <c r="F443">
        <v>29.09</v>
      </c>
    </row>
    <row r="444" spans="1:6" x14ac:dyDescent="0.2">
      <c r="A444">
        <v>443</v>
      </c>
      <c r="B444" t="s">
        <v>3662</v>
      </c>
      <c r="D444" t="s">
        <v>4109</v>
      </c>
      <c r="E444" t="s">
        <v>3221</v>
      </c>
      <c r="F444">
        <v>29.09</v>
      </c>
    </row>
    <row r="445" spans="1:6" x14ac:dyDescent="0.2">
      <c r="A445">
        <v>444</v>
      </c>
      <c r="B445" t="s">
        <v>3662</v>
      </c>
      <c r="D445" t="s">
        <v>4110</v>
      </c>
      <c r="E445" t="s">
        <v>3221</v>
      </c>
      <c r="F445">
        <v>29.09</v>
      </c>
    </row>
    <row r="446" spans="1:6" x14ac:dyDescent="0.2">
      <c r="A446">
        <v>445</v>
      </c>
      <c r="B446" t="s">
        <v>3662</v>
      </c>
      <c r="D446" t="s">
        <v>4111</v>
      </c>
      <c r="E446" t="s">
        <v>3221</v>
      </c>
      <c r="F446">
        <v>29.09</v>
      </c>
    </row>
    <row r="447" spans="1:6" x14ac:dyDescent="0.2">
      <c r="A447">
        <v>446</v>
      </c>
      <c r="B447" t="s">
        <v>3662</v>
      </c>
      <c r="D447" t="s">
        <v>4112</v>
      </c>
      <c r="E447" t="s">
        <v>3221</v>
      </c>
      <c r="F447">
        <v>29.09</v>
      </c>
    </row>
    <row r="448" spans="1:6" x14ac:dyDescent="0.2">
      <c r="A448">
        <v>447</v>
      </c>
      <c r="B448" t="s">
        <v>3662</v>
      </c>
      <c r="D448" t="s">
        <v>4113</v>
      </c>
      <c r="E448" t="s">
        <v>3221</v>
      </c>
      <c r="F448">
        <v>29.09</v>
      </c>
    </row>
    <row r="449" spans="1:6" x14ac:dyDescent="0.2">
      <c r="A449">
        <v>448</v>
      </c>
      <c r="B449" t="s">
        <v>3662</v>
      </c>
      <c r="D449" t="s">
        <v>4114</v>
      </c>
      <c r="E449" t="s">
        <v>3221</v>
      </c>
      <c r="F449">
        <v>29.09</v>
      </c>
    </row>
    <row r="450" spans="1:6" x14ac:dyDescent="0.2">
      <c r="A450">
        <v>449</v>
      </c>
      <c r="B450" t="s">
        <v>3662</v>
      </c>
      <c r="D450" t="s">
        <v>4115</v>
      </c>
      <c r="E450" t="s">
        <v>3221</v>
      </c>
      <c r="F450">
        <v>29.09</v>
      </c>
    </row>
    <row r="451" spans="1:6" x14ac:dyDescent="0.2">
      <c r="A451">
        <v>450</v>
      </c>
      <c r="B451" t="s">
        <v>3662</v>
      </c>
      <c r="D451" t="s">
        <v>4116</v>
      </c>
      <c r="E451" t="s">
        <v>3221</v>
      </c>
      <c r="F451">
        <v>29.09</v>
      </c>
    </row>
    <row r="452" spans="1:6" x14ac:dyDescent="0.2">
      <c r="A452">
        <v>451</v>
      </c>
      <c r="B452" t="s">
        <v>3662</v>
      </c>
      <c r="D452" t="s">
        <v>4117</v>
      </c>
      <c r="E452" t="s">
        <v>3221</v>
      </c>
      <c r="F452">
        <v>29.09</v>
      </c>
    </row>
    <row r="453" spans="1:6" x14ac:dyDescent="0.2">
      <c r="A453">
        <v>452</v>
      </c>
      <c r="B453" t="s">
        <v>3662</v>
      </c>
      <c r="D453" t="s">
        <v>4118</v>
      </c>
      <c r="E453" t="s">
        <v>3221</v>
      </c>
      <c r="F453">
        <v>29.09</v>
      </c>
    </row>
    <row r="454" spans="1:6" x14ac:dyDescent="0.2">
      <c r="A454">
        <v>453</v>
      </c>
      <c r="B454" t="s">
        <v>3662</v>
      </c>
      <c r="D454" t="s">
        <v>4119</v>
      </c>
      <c r="E454" t="s">
        <v>3221</v>
      </c>
      <c r="F454">
        <v>29.09</v>
      </c>
    </row>
    <row r="455" spans="1:6" x14ac:dyDescent="0.2">
      <c r="A455">
        <v>454</v>
      </c>
      <c r="B455" t="s">
        <v>3662</v>
      </c>
      <c r="D455" t="s">
        <v>4120</v>
      </c>
      <c r="E455" t="s">
        <v>3221</v>
      </c>
      <c r="F455">
        <v>29.09</v>
      </c>
    </row>
    <row r="456" spans="1:6" x14ac:dyDescent="0.2">
      <c r="A456">
        <v>455</v>
      </c>
      <c r="B456" t="s">
        <v>3662</v>
      </c>
      <c r="D456" t="s">
        <v>4121</v>
      </c>
      <c r="E456" t="s">
        <v>3221</v>
      </c>
      <c r="F456">
        <v>29.09</v>
      </c>
    </row>
    <row r="457" spans="1:6" x14ac:dyDescent="0.2">
      <c r="A457">
        <v>456</v>
      </c>
      <c r="B457" t="s">
        <v>3662</v>
      </c>
      <c r="D457" t="s">
        <v>4122</v>
      </c>
      <c r="E457" t="s">
        <v>3221</v>
      </c>
      <c r="F457">
        <v>29.09</v>
      </c>
    </row>
    <row r="458" spans="1:6" x14ac:dyDescent="0.2">
      <c r="A458">
        <v>457</v>
      </c>
      <c r="B458" t="s">
        <v>3662</v>
      </c>
      <c r="D458" t="s">
        <v>4123</v>
      </c>
      <c r="E458" t="s">
        <v>3221</v>
      </c>
      <c r="F458">
        <v>29.09</v>
      </c>
    </row>
    <row r="459" spans="1:6" x14ac:dyDescent="0.2">
      <c r="A459">
        <v>458</v>
      </c>
      <c r="B459" t="s">
        <v>3662</v>
      </c>
      <c r="D459" t="s">
        <v>4124</v>
      </c>
      <c r="E459" t="s">
        <v>3221</v>
      </c>
      <c r="F459">
        <v>29.09</v>
      </c>
    </row>
    <row r="460" spans="1:6" x14ac:dyDescent="0.2">
      <c r="A460">
        <v>459</v>
      </c>
      <c r="B460" t="s">
        <v>3662</v>
      </c>
      <c r="D460" t="s">
        <v>4125</v>
      </c>
      <c r="E460" t="s">
        <v>3221</v>
      </c>
      <c r="F460">
        <v>29.09</v>
      </c>
    </row>
    <row r="461" spans="1:6" x14ac:dyDescent="0.2">
      <c r="A461">
        <v>460</v>
      </c>
      <c r="B461" t="s">
        <v>3662</v>
      </c>
      <c r="D461" t="s">
        <v>4126</v>
      </c>
      <c r="E461" t="s">
        <v>3221</v>
      </c>
      <c r="F461">
        <v>29.09</v>
      </c>
    </row>
    <row r="462" spans="1:6" x14ac:dyDescent="0.2">
      <c r="A462">
        <v>461</v>
      </c>
      <c r="B462" t="s">
        <v>3662</v>
      </c>
      <c r="D462" t="s">
        <v>4127</v>
      </c>
      <c r="E462" t="s">
        <v>3221</v>
      </c>
      <c r="F462">
        <v>29.09</v>
      </c>
    </row>
    <row r="463" spans="1:6" x14ac:dyDescent="0.2">
      <c r="A463">
        <v>462</v>
      </c>
      <c r="B463" t="s">
        <v>3662</v>
      </c>
      <c r="D463" t="s">
        <v>4128</v>
      </c>
      <c r="E463" t="s">
        <v>3221</v>
      </c>
      <c r="F463">
        <v>29.09</v>
      </c>
    </row>
    <row r="464" spans="1:6" x14ac:dyDescent="0.2">
      <c r="A464">
        <v>463</v>
      </c>
      <c r="B464" t="s">
        <v>3662</v>
      </c>
      <c r="D464" t="s">
        <v>4129</v>
      </c>
      <c r="E464" t="s">
        <v>3221</v>
      </c>
      <c r="F464">
        <v>29.09</v>
      </c>
    </row>
    <row r="465" spans="1:6" x14ac:dyDescent="0.2">
      <c r="A465">
        <v>464</v>
      </c>
      <c r="B465" t="s">
        <v>3662</v>
      </c>
      <c r="D465" t="s">
        <v>4130</v>
      </c>
      <c r="E465" t="s">
        <v>3221</v>
      </c>
      <c r="F465">
        <v>29.09</v>
      </c>
    </row>
    <row r="466" spans="1:6" x14ac:dyDescent="0.2">
      <c r="A466">
        <v>465</v>
      </c>
      <c r="B466" t="s">
        <v>3662</v>
      </c>
      <c r="D466" t="s">
        <v>4131</v>
      </c>
      <c r="E466" t="s">
        <v>3221</v>
      </c>
      <c r="F466">
        <v>29.09</v>
      </c>
    </row>
    <row r="467" spans="1:6" x14ac:dyDescent="0.2">
      <c r="A467">
        <v>466</v>
      </c>
      <c r="B467" t="s">
        <v>3662</v>
      </c>
      <c r="D467" t="s">
        <v>4132</v>
      </c>
      <c r="E467" t="s">
        <v>3221</v>
      </c>
      <c r="F467">
        <v>29.09</v>
      </c>
    </row>
    <row r="468" spans="1:6" x14ac:dyDescent="0.2">
      <c r="A468">
        <v>467</v>
      </c>
      <c r="B468" t="s">
        <v>3662</v>
      </c>
      <c r="D468" t="s">
        <v>4133</v>
      </c>
      <c r="E468" t="s">
        <v>3221</v>
      </c>
      <c r="F468">
        <v>29.09</v>
      </c>
    </row>
    <row r="469" spans="1:6" x14ac:dyDescent="0.2">
      <c r="A469">
        <v>468</v>
      </c>
      <c r="B469" t="s">
        <v>3662</v>
      </c>
      <c r="D469" t="s">
        <v>4134</v>
      </c>
      <c r="E469" t="s">
        <v>3221</v>
      </c>
      <c r="F469">
        <v>29.09</v>
      </c>
    </row>
    <row r="470" spans="1:6" x14ac:dyDescent="0.2">
      <c r="A470">
        <v>469</v>
      </c>
      <c r="B470" t="s">
        <v>3662</v>
      </c>
      <c r="D470" t="s">
        <v>4135</v>
      </c>
      <c r="E470" t="s">
        <v>3221</v>
      </c>
      <c r="F470">
        <v>29.09</v>
      </c>
    </row>
    <row r="471" spans="1:6" x14ac:dyDescent="0.2">
      <c r="A471">
        <v>470</v>
      </c>
      <c r="B471" t="s">
        <v>3662</v>
      </c>
      <c r="D471" t="s">
        <v>4136</v>
      </c>
      <c r="E471" t="s">
        <v>3221</v>
      </c>
      <c r="F471">
        <v>29.09</v>
      </c>
    </row>
    <row r="472" spans="1:6" x14ac:dyDescent="0.2">
      <c r="A472">
        <v>471</v>
      </c>
      <c r="B472" t="s">
        <v>3662</v>
      </c>
      <c r="D472" t="s">
        <v>4137</v>
      </c>
      <c r="E472" t="s">
        <v>3221</v>
      </c>
      <c r="F472">
        <v>29.09</v>
      </c>
    </row>
    <row r="473" spans="1:6" x14ac:dyDescent="0.2">
      <c r="A473">
        <v>472</v>
      </c>
      <c r="B473" t="s">
        <v>3662</v>
      </c>
      <c r="D473" t="s">
        <v>4138</v>
      </c>
      <c r="E473" t="s">
        <v>3221</v>
      </c>
      <c r="F473">
        <v>29.09</v>
      </c>
    </row>
    <row r="474" spans="1:6" x14ac:dyDescent="0.2">
      <c r="A474">
        <v>473</v>
      </c>
      <c r="B474" t="s">
        <v>3662</v>
      </c>
      <c r="D474" t="s">
        <v>4139</v>
      </c>
      <c r="E474" t="s">
        <v>3221</v>
      </c>
      <c r="F474">
        <v>29.09</v>
      </c>
    </row>
    <row r="475" spans="1:6" x14ac:dyDescent="0.2">
      <c r="A475">
        <v>474</v>
      </c>
      <c r="B475" t="s">
        <v>3662</v>
      </c>
      <c r="D475" t="s">
        <v>4140</v>
      </c>
      <c r="E475" t="s">
        <v>3221</v>
      </c>
      <c r="F475">
        <v>29.09</v>
      </c>
    </row>
    <row r="476" spans="1:6" x14ac:dyDescent="0.2">
      <c r="A476">
        <v>475</v>
      </c>
      <c r="B476" t="s">
        <v>3662</v>
      </c>
      <c r="D476" t="s">
        <v>4141</v>
      </c>
      <c r="E476" t="s">
        <v>3221</v>
      </c>
      <c r="F476">
        <v>29.09</v>
      </c>
    </row>
    <row r="477" spans="1:6" x14ac:dyDescent="0.2">
      <c r="A477">
        <v>476</v>
      </c>
      <c r="B477" t="s">
        <v>3662</v>
      </c>
      <c r="D477" t="s">
        <v>4142</v>
      </c>
      <c r="E477" t="s">
        <v>3221</v>
      </c>
      <c r="F477">
        <v>29.09</v>
      </c>
    </row>
    <row r="478" spans="1:6" x14ac:dyDescent="0.2">
      <c r="A478">
        <v>477</v>
      </c>
      <c r="B478" t="s">
        <v>3662</v>
      </c>
      <c r="D478" t="s">
        <v>4143</v>
      </c>
      <c r="E478" t="s">
        <v>3221</v>
      </c>
      <c r="F478">
        <v>29.09</v>
      </c>
    </row>
    <row r="479" spans="1:6" x14ac:dyDescent="0.2">
      <c r="A479">
        <v>478</v>
      </c>
      <c r="B479" t="s">
        <v>3662</v>
      </c>
      <c r="D479" t="s">
        <v>4144</v>
      </c>
      <c r="E479" t="s">
        <v>3221</v>
      </c>
      <c r="F479">
        <v>29.09</v>
      </c>
    </row>
    <row r="480" spans="1:6" x14ac:dyDescent="0.2">
      <c r="A480">
        <v>479</v>
      </c>
      <c r="B480" t="s">
        <v>3662</v>
      </c>
      <c r="D480" t="s">
        <v>4145</v>
      </c>
      <c r="E480" t="s">
        <v>3221</v>
      </c>
      <c r="F480">
        <v>29.09</v>
      </c>
    </row>
    <row r="481" spans="1:6" x14ac:dyDescent="0.2">
      <c r="A481">
        <v>480</v>
      </c>
      <c r="B481" t="s">
        <v>3662</v>
      </c>
      <c r="D481" t="s">
        <v>4146</v>
      </c>
      <c r="E481" t="s">
        <v>3221</v>
      </c>
      <c r="F481">
        <v>29.09</v>
      </c>
    </row>
    <row r="482" spans="1:6" x14ac:dyDescent="0.2">
      <c r="A482">
        <v>481</v>
      </c>
      <c r="B482" t="s">
        <v>3662</v>
      </c>
      <c r="D482" t="s">
        <v>4147</v>
      </c>
      <c r="E482" t="s">
        <v>3221</v>
      </c>
      <c r="F482">
        <v>29.09</v>
      </c>
    </row>
    <row r="483" spans="1:6" x14ac:dyDescent="0.2">
      <c r="A483">
        <v>482</v>
      </c>
      <c r="B483" t="s">
        <v>3662</v>
      </c>
      <c r="D483" t="s">
        <v>4148</v>
      </c>
      <c r="E483" t="s">
        <v>3221</v>
      </c>
      <c r="F483">
        <v>29.09</v>
      </c>
    </row>
    <row r="484" spans="1:6" x14ac:dyDescent="0.2">
      <c r="A484">
        <v>483</v>
      </c>
      <c r="B484" t="s">
        <v>3662</v>
      </c>
      <c r="D484" t="s">
        <v>4149</v>
      </c>
      <c r="E484" t="s">
        <v>3221</v>
      </c>
      <c r="F484">
        <v>29.09</v>
      </c>
    </row>
    <row r="485" spans="1:6" x14ac:dyDescent="0.2">
      <c r="A485">
        <v>484</v>
      </c>
      <c r="B485" t="s">
        <v>3662</v>
      </c>
      <c r="D485" t="s">
        <v>4150</v>
      </c>
      <c r="E485" t="s">
        <v>3221</v>
      </c>
      <c r="F485">
        <v>29.09</v>
      </c>
    </row>
    <row r="486" spans="1:6" x14ac:dyDescent="0.2">
      <c r="A486">
        <v>485</v>
      </c>
      <c r="B486" t="s">
        <v>3662</v>
      </c>
      <c r="D486" t="s">
        <v>4151</v>
      </c>
      <c r="E486" t="s">
        <v>3221</v>
      </c>
      <c r="F486">
        <v>29.09</v>
      </c>
    </row>
    <row r="487" spans="1:6" x14ac:dyDescent="0.2">
      <c r="A487">
        <v>486</v>
      </c>
      <c r="B487" t="s">
        <v>3662</v>
      </c>
      <c r="D487" t="s">
        <v>4152</v>
      </c>
      <c r="E487" t="s">
        <v>3221</v>
      </c>
      <c r="F487">
        <v>29.09</v>
      </c>
    </row>
    <row r="488" spans="1:6" x14ac:dyDescent="0.2">
      <c r="A488">
        <v>487</v>
      </c>
      <c r="B488" t="s">
        <v>3662</v>
      </c>
      <c r="D488" t="s">
        <v>4153</v>
      </c>
      <c r="E488" t="s">
        <v>3221</v>
      </c>
      <c r="F488">
        <v>29.09</v>
      </c>
    </row>
    <row r="489" spans="1:6" x14ac:dyDescent="0.2">
      <c r="A489">
        <v>488</v>
      </c>
      <c r="B489" t="s">
        <v>3662</v>
      </c>
      <c r="D489" t="s">
        <v>4154</v>
      </c>
      <c r="E489" t="s">
        <v>3221</v>
      </c>
      <c r="F489">
        <v>29.09</v>
      </c>
    </row>
    <row r="490" spans="1:6" x14ac:dyDescent="0.2">
      <c r="A490">
        <v>489</v>
      </c>
      <c r="B490" t="s">
        <v>3662</v>
      </c>
      <c r="D490" t="s">
        <v>4155</v>
      </c>
      <c r="E490" t="s">
        <v>3221</v>
      </c>
      <c r="F490">
        <v>29.09</v>
      </c>
    </row>
    <row r="491" spans="1:6" x14ac:dyDescent="0.2">
      <c r="A491">
        <v>490</v>
      </c>
      <c r="B491" t="s">
        <v>3662</v>
      </c>
      <c r="D491" t="s">
        <v>4156</v>
      </c>
      <c r="E491" t="s">
        <v>3221</v>
      </c>
      <c r="F491">
        <v>29.09</v>
      </c>
    </row>
    <row r="492" spans="1:6" x14ac:dyDescent="0.2">
      <c r="A492">
        <v>491</v>
      </c>
      <c r="B492" t="s">
        <v>3662</v>
      </c>
      <c r="D492" t="s">
        <v>4157</v>
      </c>
      <c r="E492" t="s">
        <v>3221</v>
      </c>
      <c r="F492">
        <v>29.09</v>
      </c>
    </row>
    <row r="493" spans="1:6" x14ac:dyDescent="0.2">
      <c r="A493">
        <v>492</v>
      </c>
      <c r="B493" t="s">
        <v>3662</v>
      </c>
      <c r="D493" t="s">
        <v>4158</v>
      </c>
      <c r="E493" t="s">
        <v>3221</v>
      </c>
      <c r="F493">
        <v>29.09</v>
      </c>
    </row>
    <row r="494" spans="1:6" x14ac:dyDescent="0.2">
      <c r="A494">
        <v>493</v>
      </c>
      <c r="B494" t="s">
        <v>3662</v>
      </c>
      <c r="D494" t="s">
        <v>4159</v>
      </c>
      <c r="E494" t="s">
        <v>3221</v>
      </c>
      <c r="F494">
        <v>29.09</v>
      </c>
    </row>
    <row r="495" spans="1:6" x14ac:dyDescent="0.2">
      <c r="A495">
        <v>494</v>
      </c>
      <c r="B495" t="s">
        <v>3662</v>
      </c>
      <c r="D495" t="s">
        <v>4160</v>
      </c>
      <c r="E495" t="s">
        <v>3221</v>
      </c>
      <c r="F495">
        <v>29.09</v>
      </c>
    </row>
    <row r="496" spans="1:6" x14ac:dyDescent="0.2">
      <c r="A496">
        <v>495</v>
      </c>
      <c r="B496" t="s">
        <v>3662</v>
      </c>
      <c r="D496" t="s">
        <v>4161</v>
      </c>
      <c r="E496" t="s">
        <v>3221</v>
      </c>
      <c r="F496">
        <v>29.09</v>
      </c>
    </row>
    <row r="497" spans="1:6" x14ac:dyDescent="0.2">
      <c r="A497">
        <v>496</v>
      </c>
      <c r="B497" t="s">
        <v>3662</v>
      </c>
      <c r="D497" t="s">
        <v>4162</v>
      </c>
      <c r="E497" t="s">
        <v>3221</v>
      </c>
      <c r="F497">
        <v>29.09</v>
      </c>
    </row>
    <row r="498" spans="1:6" x14ac:dyDescent="0.2">
      <c r="A498">
        <v>497</v>
      </c>
      <c r="B498" t="s">
        <v>3662</v>
      </c>
      <c r="D498" t="s">
        <v>4163</v>
      </c>
      <c r="E498" t="s">
        <v>3221</v>
      </c>
      <c r="F498">
        <v>29.09</v>
      </c>
    </row>
    <row r="499" spans="1:6" x14ac:dyDescent="0.2">
      <c r="A499">
        <v>498</v>
      </c>
      <c r="B499" t="s">
        <v>3662</v>
      </c>
      <c r="D499" t="s">
        <v>4164</v>
      </c>
      <c r="E499" t="s">
        <v>3221</v>
      </c>
      <c r="F499">
        <v>29.09</v>
      </c>
    </row>
    <row r="500" spans="1:6" x14ac:dyDescent="0.2">
      <c r="A500">
        <v>499</v>
      </c>
      <c r="B500" t="s">
        <v>3662</v>
      </c>
      <c r="D500" t="s">
        <v>4165</v>
      </c>
      <c r="E500" t="s">
        <v>3221</v>
      </c>
      <c r="F500">
        <v>29.09</v>
      </c>
    </row>
    <row r="501" spans="1:6" x14ac:dyDescent="0.2">
      <c r="A501">
        <v>500</v>
      </c>
      <c r="B501" t="s">
        <v>3662</v>
      </c>
      <c r="D501" t="s">
        <v>4166</v>
      </c>
      <c r="E501" t="s">
        <v>3221</v>
      </c>
      <c r="F501">
        <v>29.09</v>
      </c>
    </row>
    <row r="502" spans="1:6" x14ac:dyDescent="0.2">
      <c r="A502">
        <v>501</v>
      </c>
      <c r="B502" t="s">
        <v>3662</v>
      </c>
      <c r="D502" t="s">
        <v>4167</v>
      </c>
      <c r="E502" t="s">
        <v>3221</v>
      </c>
      <c r="F502">
        <v>29.09</v>
      </c>
    </row>
    <row r="503" spans="1:6" x14ac:dyDescent="0.2">
      <c r="A503">
        <v>502</v>
      </c>
      <c r="B503" t="s">
        <v>3662</v>
      </c>
      <c r="D503" t="s">
        <v>4168</v>
      </c>
      <c r="E503" t="s">
        <v>3221</v>
      </c>
      <c r="F503">
        <v>29.09</v>
      </c>
    </row>
    <row r="504" spans="1:6" x14ac:dyDescent="0.2">
      <c r="A504">
        <v>503</v>
      </c>
      <c r="B504" t="s">
        <v>3662</v>
      </c>
      <c r="D504" t="s">
        <v>4169</v>
      </c>
      <c r="E504" t="s">
        <v>3221</v>
      </c>
      <c r="F504">
        <v>29.09</v>
      </c>
    </row>
    <row r="505" spans="1:6" x14ac:dyDescent="0.2">
      <c r="A505">
        <v>504</v>
      </c>
      <c r="B505" t="s">
        <v>3662</v>
      </c>
      <c r="D505" t="s">
        <v>4170</v>
      </c>
      <c r="E505" t="s">
        <v>3221</v>
      </c>
      <c r="F505">
        <v>29.09</v>
      </c>
    </row>
    <row r="506" spans="1:6" x14ac:dyDescent="0.2">
      <c r="A506">
        <v>505</v>
      </c>
      <c r="B506" t="s">
        <v>3662</v>
      </c>
      <c r="D506" t="s">
        <v>4171</v>
      </c>
      <c r="E506" t="s">
        <v>3221</v>
      </c>
      <c r="F506">
        <v>29.09</v>
      </c>
    </row>
    <row r="507" spans="1:6" x14ac:dyDescent="0.2">
      <c r="A507">
        <v>506</v>
      </c>
      <c r="B507" t="s">
        <v>3662</v>
      </c>
      <c r="D507" t="s">
        <v>4172</v>
      </c>
      <c r="E507" t="s">
        <v>3221</v>
      </c>
      <c r="F507">
        <v>29.09</v>
      </c>
    </row>
    <row r="508" spans="1:6" x14ac:dyDescent="0.2">
      <c r="A508">
        <v>507</v>
      </c>
      <c r="B508" t="s">
        <v>3662</v>
      </c>
      <c r="D508" t="s">
        <v>4173</v>
      </c>
      <c r="E508" t="s">
        <v>3221</v>
      </c>
      <c r="F508">
        <v>29.09</v>
      </c>
    </row>
    <row r="509" spans="1:6" x14ac:dyDescent="0.2">
      <c r="A509">
        <v>508</v>
      </c>
      <c r="B509" t="s">
        <v>3662</v>
      </c>
      <c r="D509" t="s">
        <v>4174</v>
      </c>
      <c r="E509" t="s">
        <v>3221</v>
      </c>
      <c r="F509">
        <v>29.09</v>
      </c>
    </row>
    <row r="510" spans="1:6" x14ac:dyDescent="0.2">
      <c r="A510">
        <v>509</v>
      </c>
      <c r="B510" t="s">
        <v>3662</v>
      </c>
      <c r="D510" t="s">
        <v>4175</v>
      </c>
      <c r="E510" t="s">
        <v>3221</v>
      </c>
      <c r="F510">
        <v>29.09</v>
      </c>
    </row>
    <row r="511" spans="1:6" x14ac:dyDescent="0.2">
      <c r="A511">
        <v>510</v>
      </c>
      <c r="B511" t="s">
        <v>3662</v>
      </c>
      <c r="D511" t="s">
        <v>4176</v>
      </c>
      <c r="E511" t="s">
        <v>3221</v>
      </c>
      <c r="F511">
        <v>29.09</v>
      </c>
    </row>
    <row r="512" spans="1:6" x14ac:dyDescent="0.2">
      <c r="A512">
        <v>511</v>
      </c>
      <c r="B512" t="s">
        <v>3662</v>
      </c>
      <c r="D512" t="s">
        <v>4177</v>
      </c>
      <c r="E512" t="s">
        <v>3221</v>
      </c>
      <c r="F512">
        <v>29.09</v>
      </c>
    </row>
    <row r="513" spans="1:6" x14ac:dyDescent="0.2">
      <c r="A513">
        <v>512</v>
      </c>
      <c r="B513" t="s">
        <v>3662</v>
      </c>
      <c r="D513" t="s">
        <v>4178</v>
      </c>
      <c r="E513" t="s">
        <v>3221</v>
      </c>
      <c r="F513">
        <v>29.09</v>
      </c>
    </row>
    <row r="514" spans="1:6" x14ac:dyDescent="0.2">
      <c r="A514">
        <v>513</v>
      </c>
      <c r="B514" t="s">
        <v>3662</v>
      </c>
      <c r="D514" t="s">
        <v>4179</v>
      </c>
      <c r="E514" t="s">
        <v>3221</v>
      </c>
      <c r="F514">
        <v>29.09</v>
      </c>
    </row>
    <row r="515" spans="1:6" x14ac:dyDescent="0.2">
      <c r="A515">
        <v>514</v>
      </c>
      <c r="B515" t="s">
        <v>3662</v>
      </c>
      <c r="D515" t="s">
        <v>4180</v>
      </c>
      <c r="E515" t="s">
        <v>3221</v>
      </c>
      <c r="F515">
        <v>29.09</v>
      </c>
    </row>
    <row r="516" spans="1:6" x14ac:dyDescent="0.2">
      <c r="A516">
        <v>515</v>
      </c>
      <c r="B516" t="s">
        <v>3662</v>
      </c>
      <c r="D516" t="s">
        <v>4181</v>
      </c>
      <c r="E516" t="s">
        <v>3221</v>
      </c>
      <c r="F516">
        <v>29.09</v>
      </c>
    </row>
    <row r="517" spans="1:6" x14ac:dyDescent="0.2">
      <c r="A517">
        <v>516</v>
      </c>
      <c r="B517" t="s">
        <v>3662</v>
      </c>
      <c r="D517" t="s">
        <v>4182</v>
      </c>
      <c r="E517" t="s">
        <v>3221</v>
      </c>
      <c r="F517">
        <v>29.09</v>
      </c>
    </row>
    <row r="518" spans="1:6" x14ac:dyDescent="0.2">
      <c r="A518">
        <v>517</v>
      </c>
      <c r="B518" t="s">
        <v>3662</v>
      </c>
      <c r="D518" t="s">
        <v>4183</v>
      </c>
      <c r="E518" t="s">
        <v>3221</v>
      </c>
      <c r="F518">
        <v>25.02</v>
      </c>
    </row>
    <row r="519" spans="1:6" x14ac:dyDescent="0.2">
      <c r="A519">
        <v>518</v>
      </c>
      <c r="B519" t="s">
        <v>3662</v>
      </c>
      <c r="D519" t="s">
        <v>4184</v>
      </c>
      <c r="E519" t="s">
        <v>3221</v>
      </c>
      <c r="F519">
        <v>25.02</v>
      </c>
    </row>
    <row r="520" spans="1:6" x14ac:dyDescent="0.2">
      <c r="A520">
        <v>519</v>
      </c>
      <c r="B520" t="s">
        <v>3662</v>
      </c>
      <c r="D520" t="s">
        <v>4185</v>
      </c>
      <c r="E520" t="s">
        <v>3221</v>
      </c>
      <c r="F520">
        <v>25.02</v>
      </c>
    </row>
    <row r="521" spans="1:6" x14ac:dyDescent="0.2">
      <c r="A521">
        <v>520</v>
      </c>
      <c r="B521" t="s">
        <v>3662</v>
      </c>
      <c r="D521" t="s">
        <v>4186</v>
      </c>
      <c r="E521" t="s">
        <v>3221</v>
      </c>
      <c r="F521">
        <v>25.02</v>
      </c>
    </row>
    <row r="522" spans="1:6" x14ac:dyDescent="0.2">
      <c r="A522">
        <v>521</v>
      </c>
      <c r="B522" t="s">
        <v>3662</v>
      </c>
      <c r="D522" t="s">
        <v>4187</v>
      </c>
      <c r="E522" t="s">
        <v>3221</v>
      </c>
      <c r="F522">
        <v>25.02</v>
      </c>
    </row>
    <row r="523" spans="1:6" x14ac:dyDescent="0.2">
      <c r="A523">
        <v>522</v>
      </c>
      <c r="B523" t="s">
        <v>3662</v>
      </c>
      <c r="D523" t="s">
        <v>4188</v>
      </c>
      <c r="E523" t="s">
        <v>3221</v>
      </c>
      <c r="F523">
        <v>25.02</v>
      </c>
    </row>
    <row r="524" spans="1:6" x14ac:dyDescent="0.2">
      <c r="A524">
        <v>523</v>
      </c>
      <c r="B524" t="s">
        <v>3662</v>
      </c>
      <c r="D524" t="s">
        <v>4189</v>
      </c>
      <c r="E524" t="s">
        <v>3221</v>
      </c>
      <c r="F524">
        <v>25.02</v>
      </c>
    </row>
    <row r="525" spans="1:6" x14ac:dyDescent="0.2">
      <c r="A525">
        <v>524</v>
      </c>
      <c r="B525" t="s">
        <v>3662</v>
      </c>
      <c r="D525" t="s">
        <v>4190</v>
      </c>
      <c r="E525" t="s">
        <v>3221</v>
      </c>
      <c r="F525">
        <v>25.02</v>
      </c>
    </row>
    <row r="526" spans="1:6" x14ac:dyDescent="0.2">
      <c r="A526">
        <v>525</v>
      </c>
      <c r="B526" t="s">
        <v>3662</v>
      </c>
      <c r="D526" t="s">
        <v>4191</v>
      </c>
      <c r="E526" t="s">
        <v>3221</v>
      </c>
      <c r="F526">
        <v>25.02</v>
      </c>
    </row>
    <row r="527" spans="1:6" x14ac:dyDescent="0.2">
      <c r="A527">
        <v>526</v>
      </c>
      <c r="B527" t="s">
        <v>3662</v>
      </c>
      <c r="D527" t="s">
        <v>4192</v>
      </c>
      <c r="E527" t="s">
        <v>3221</v>
      </c>
      <c r="F527">
        <v>25.02</v>
      </c>
    </row>
    <row r="528" spans="1:6" x14ac:dyDescent="0.2">
      <c r="A528">
        <v>527</v>
      </c>
      <c r="B528" t="s">
        <v>3662</v>
      </c>
      <c r="D528" t="s">
        <v>4193</v>
      </c>
      <c r="E528" t="s">
        <v>3221</v>
      </c>
      <c r="F528">
        <v>25.02</v>
      </c>
    </row>
    <row r="529" spans="1:6" x14ac:dyDescent="0.2">
      <c r="A529">
        <v>528</v>
      </c>
      <c r="B529" t="s">
        <v>3662</v>
      </c>
      <c r="D529" t="s">
        <v>4194</v>
      </c>
      <c r="E529" t="s">
        <v>3221</v>
      </c>
      <c r="F529">
        <v>25.02</v>
      </c>
    </row>
    <row r="530" spans="1:6" x14ac:dyDescent="0.2">
      <c r="A530">
        <v>529</v>
      </c>
      <c r="B530" t="s">
        <v>3662</v>
      </c>
      <c r="D530" t="s">
        <v>4195</v>
      </c>
      <c r="E530" t="s">
        <v>3221</v>
      </c>
      <c r="F530">
        <v>29.09</v>
      </c>
    </row>
    <row r="531" spans="1:6" x14ac:dyDescent="0.2">
      <c r="A531">
        <v>530</v>
      </c>
      <c r="B531" t="s">
        <v>3662</v>
      </c>
      <c r="D531" t="s">
        <v>4196</v>
      </c>
      <c r="E531" t="s">
        <v>3221</v>
      </c>
      <c r="F531">
        <v>29.09</v>
      </c>
    </row>
    <row r="532" spans="1:6" x14ac:dyDescent="0.2">
      <c r="A532">
        <v>531</v>
      </c>
      <c r="B532" t="s">
        <v>3662</v>
      </c>
      <c r="D532" t="s">
        <v>4197</v>
      </c>
      <c r="E532" t="s">
        <v>3221</v>
      </c>
      <c r="F532">
        <v>29.09</v>
      </c>
    </row>
    <row r="533" spans="1:6" x14ac:dyDescent="0.2">
      <c r="A533">
        <v>532</v>
      </c>
      <c r="B533" t="s">
        <v>3662</v>
      </c>
      <c r="D533" t="s">
        <v>4198</v>
      </c>
      <c r="E533" t="s">
        <v>3221</v>
      </c>
      <c r="F533">
        <v>29.09</v>
      </c>
    </row>
    <row r="534" spans="1:6" x14ac:dyDescent="0.2">
      <c r="A534">
        <v>533</v>
      </c>
      <c r="B534" t="s">
        <v>3662</v>
      </c>
      <c r="D534" t="s">
        <v>4199</v>
      </c>
      <c r="E534" t="s">
        <v>3221</v>
      </c>
      <c r="F534">
        <v>29.09</v>
      </c>
    </row>
    <row r="535" spans="1:6" x14ac:dyDescent="0.2">
      <c r="A535">
        <v>534</v>
      </c>
      <c r="B535" t="s">
        <v>3662</v>
      </c>
      <c r="D535" t="s">
        <v>4200</v>
      </c>
      <c r="E535" t="s">
        <v>3221</v>
      </c>
      <c r="F535">
        <v>29.09</v>
      </c>
    </row>
    <row r="536" spans="1:6" x14ac:dyDescent="0.2">
      <c r="A536">
        <v>535</v>
      </c>
      <c r="B536" t="s">
        <v>3662</v>
      </c>
      <c r="D536" t="s">
        <v>4201</v>
      </c>
      <c r="E536" t="s">
        <v>3221</v>
      </c>
      <c r="F536">
        <v>29.09</v>
      </c>
    </row>
    <row r="537" spans="1:6" x14ac:dyDescent="0.2">
      <c r="A537">
        <v>536</v>
      </c>
      <c r="B537" t="s">
        <v>3662</v>
      </c>
      <c r="D537" t="s">
        <v>4202</v>
      </c>
      <c r="E537" t="s">
        <v>3221</v>
      </c>
      <c r="F537">
        <v>29.09</v>
      </c>
    </row>
    <row r="538" spans="1:6" x14ac:dyDescent="0.2">
      <c r="A538">
        <v>537</v>
      </c>
      <c r="B538" t="s">
        <v>3662</v>
      </c>
      <c r="D538" t="s">
        <v>4203</v>
      </c>
      <c r="E538" t="s">
        <v>3221</v>
      </c>
      <c r="F538">
        <v>29.09</v>
      </c>
    </row>
    <row r="539" spans="1:6" x14ac:dyDescent="0.2">
      <c r="A539">
        <v>538</v>
      </c>
      <c r="B539" t="s">
        <v>3662</v>
      </c>
      <c r="D539" t="s">
        <v>4204</v>
      </c>
      <c r="E539" t="s">
        <v>3221</v>
      </c>
      <c r="F539">
        <v>29.09</v>
      </c>
    </row>
    <row r="540" spans="1:6" x14ac:dyDescent="0.2">
      <c r="A540">
        <v>539</v>
      </c>
      <c r="B540" t="s">
        <v>3662</v>
      </c>
      <c r="D540" t="s">
        <v>4205</v>
      </c>
      <c r="E540" t="s">
        <v>3221</v>
      </c>
      <c r="F540">
        <v>29.09</v>
      </c>
    </row>
    <row r="541" spans="1:6" x14ac:dyDescent="0.2">
      <c r="A541">
        <v>540</v>
      </c>
      <c r="B541" t="s">
        <v>3662</v>
      </c>
      <c r="D541" t="s">
        <v>4206</v>
      </c>
      <c r="E541" t="s">
        <v>3221</v>
      </c>
      <c r="F541">
        <v>29.09</v>
      </c>
    </row>
    <row r="542" spans="1:6" x14ac:dyDescent="0.2">
      <c r="A542">
        <v>541</v>
      </c>
      <c r="B542" t="s">
        <v>3662</v>
      </c>
      <c r="D542" t="s">
        <v>4207</v>
      </c>
      <c r="E542" t="s">
        <v>3221</v>
      </c>
      <c r="F542">
        <v>29.09</v>
      </c>
    </row>
    <row r="543" spans="1:6" x14ac:dyDescent="0.2">
      <c r="A543">
        <v>542</v>
      </c>
      <c r="B543" t="s">
        <v>3662</v>
      </c>
      <c r="D543" t="s">
        <v>4208</v>
      </c>
      <c r="E543" t="s">
        <v>3221</v>
      </c>
      <c r="F543">
        <v>29.09</v>
      </c>
    </row>
    <row r="544" spans="1:6" x14ac:dyDescent="0.2">
      <c r="A544">
        <v>543</v>
      </c>
      <c r="B544" t="s">
        <v>3662</v>
      </c>
      <c r="D544" t="s">
        <v>4209</v>
      </c>
      <c r="E544" t="s">
        <v>3221</v>
      </c>
      <c r="F544">
        <v>29.09</v>
      </c>
    </row>
    <row r="545" spans="1:6" x14ac:dyDescent="0.2">
      <c r="A545">
        <v>544</v>
      </c>
      <c r="B545" t="s">
        <v>3662</v>
      </c>
      <c r="D545" t="s">
        <v>4210</v>
      </c>
      <c r="E545" t="s">
        <v>3221</v>
      </c>
      <c r="F545">
        <v>29.09</v>
      </c>
    </row>
    <row r="546" spans="1:6" x14ac:dyDescent="0.2">
      <c r="A546">
        <v>545</v>
      </c>
      <c r="B546" t="s">
        <v>3662</v>
      </c>
      <c r="D546" t="s">
        <v>4211</v>
      </c>
      <c r="E546" t="s">
        <v>3221</v>
      </c>
      <c r="F546">
        <v>29.09</v>
      </c>
    </row>
    <row r="547" spans="1:6" x14ac:dyDescent="0.2">
      <c r="A547">
        <v>546</v>
      </c>
      <c r="B547" t="s">
        <v>3662</v>
      </c>
      <c r="D547" t="s">
        <v>4212</v>
      </c>
      <c r="E547" t="s">
        <v>3221</v>
      </c>
      <c r="F547">
        <v>29.09</v>
      </c>
    </row>
    <row r="548" spans="1:6" x14ac:dyDescent="0.2">
      <c r="A548">
        <v>547</v>
      </c>
      <c r="B548" t="s">
        <v>3662</v>
      </c>
      <c r="D548" t="s">
        <v>4213</v>
      </c>
      <c r="E548" t="s">
        <v>3221</v>
      </c>
      <c r="F548">
        <v>29.09</v>
      </c>
    </row>
    <row r="549" spans="1:6" x14ac:dyDescent="0.2">
      <c r="A549">
        <v>548</v>
      </c>
      <c r="B549" t="s">
        <v>3662</v>
      </c>
      <c r="D549" t="s">
        <v>4214</v>
      </c>
      <c r="E549" t="s">
        <v>3221</v>
      </c>
      <c r="F549">
        <v>29.09</v>
      </c>
    </row>
    <row r="550" spans="1:6" x14ac:dyDescent="0.2">
      <c r="A550">
        <v>549</v>
      </c>
      <c r="B550" t="s">
        <v>3662</v>
      </c>
      <c r="D550" t="s">
        <v>4215</v>
      </c>
      <c r="E550" t="s">
        <v>3221</v>
      </c>
      <c r="F550">
        <v>29.09</v>
      </c>
    </row>
    <row r="551" spans="1:6" x14ac:dyDescent="0.2">
      <c r="A551">
        <v>550</v>
      </c>
      <c r="B551" t="s">
        <v>3662</v>
      </c>
      <c r="D551" t="s">
        <v>4216</v>
      </c>
      <c r="E551" t="s">
        <v>3221</v>
      </c>
      <c r="F551">
        <v>29.09</v>
      </c>
    </row>
    <row r="552" spans="1:6" x14ac:dyDescent="0.2">
      <c r="A552">
        <v>551</v>
      </c>
      <c r="B552" t="s">
        <v>3662</v>
      </c>
      <c r="D552" t="s">
        <v>4217</v>
      </c>
      <c r="E552" t="s">
        <v>3221</v>
      </c>
      <c r="F552">
        <v>29.09</v>
      </c>
    </row>
    <row r="553" spans="1:6" x14ac:dyDescent="0.2">
      <c r="A553">
        <v>552</v>
      </c>
      <c r="B553" t="s">
        <v>3662</v>
      </c>
      <c r="D553" t="s">
        <v>4218</v>
      </c>
      <c r="E553" t="s">
        <v>3221</v>
      </c>
      <c r="F553">
        <v>29.09</v>
      </c>
    </row>
    <row r="554" spans="1:6" x14ac:dyDescent="0.2">
      <c r="A554">
        <v>553</v>
      </c>
      <c r="B554" t="s">
        <v>3662</v>
      </c>
      <c r="D554" t="s">
        <v>4219</v>
      </c>
      <c r="E554" t="s">
        <v>3221</v>
      </c>
      <c r="F554">
        <v>29.09</v>
      </c>
    </row>
    <row r="555" spans="1:6" x14ac:dyDescent="0.2">
      <c r="A555">
        <v>554</v>
      </c>
      <c r="B555" t="s">
        <v>3662</v>
      </c>
      <c r="D555" t="s">
        <v>4220</v>
      </c>
      <c r="E555" t="s">
        <v>3221</v>
      </c>
      <c r="F555">
        <v>29.09</v>
      </c>
    </row>
    <row r="556" spans="1:6" x14ac:dyDescent="0.2">
      <c r="A556">
        <v>555</v>
      </c>
      <c r="B556" t="s">
        <v>3662</v>
      </c>
      <c r="D556" t="s">
        <v>4221</v>
      </c>
      <c r="E556" t="s">
        <v>3221</v>
      </c>
      <c r="F556">
        <v>29.09</v>
      </c>
    </row>
    <row r="557" spans="1:6" x14ac:dyDescent="0.2">
      <c r="A557">
        <v>556</v>
      </c>
      <c r="B557" t="s">
        <v>3662</v>
      </c>
      <c r="D557" t="s">
        <v>4222</v>
      </c>
      <c r="E557" t="s">
        <v>3221</v>
      </c>
      <c r="F557">
        <v>29.09</v>
      </c>
    </row>
    <row r="558" spans="1:6" x14ac:dyDescent="0.2">
      <c r="A558">
        <v>557</v>
      </c>
      <c r="B558" t="s">
        <v>3662</v>
      </c>
      <c r="D558" t="s">
        <v>4223</v>
      </c>
      <c r="E558" t="s">
        <v>3221</v>
      </c>
      <c r="F558">
        <v>29.09</v>
      </c>
    </row>
    <row r="559" spans="1:6" x14ac:dyDescent="0.2">
      <c r="A559">
        <v>558</v>
      </c>
      <c r="B559" t="s">
        <v>3662</v>
      </c>
      <c r="D559" t="s">
        <v>4224</v>
      </c>
      <c r="E559" t="s">
        <v>3221</v>
      </c>
      <c r="F559">
        <v>29.09</v>
      </c>
    </row>
    <row r="560" spans="1:6" x14ac:dyDescent="0.2">
      <c r="A560">
        <v>559</v>
      </c>
      <c r="B560" t="s">
        <v>3662</v>
      </c>
      <c r="D560" t="s">
        <v>4225</v>
      </c>
      <c r="E560" t="s">
        <v>3221</v>
      </c>
      <c r="F560">
        <v>29.09</v>
      </c>
    </row>
    <row r="561" spans="1:6" x14ac:dyDescent="0.2">
      <c r="A561">
        <v>560</v>
      </c>
      <c r="B561" t="s">
        <v>3662</v>
      </c>
      <c r="D561" t="s">
        <v>4226</v>
      </c>
      <c r="E561" t="s">
        <v>3221</v>
      </c>
      <c r="F561">
        <v>29.09</v>
      </c>
    </row>
    <row r="562" spans="1:6" x14ac:dyDescent="0.2">
      <c r="A562">
        <v>561</v>
      </c>
      <c r="B562" t="s">
        <v>3662</v>
      </c>
      <c r="D562" t="s">
        <v>4227</v>
      </c>
      <c r="E562" t="s">
        <v>3221</v>
      </c>
      <c r="F562">
        <v>29.09</v>
      </c>
    </row>
    <row r="563" spans="1:6" x14ac:dyDescent="0.2">
      <c r="A563">
        <v>562</v>
      </c>
      <c r="B563" t="s">
        <v>3662</v>
      </c>
      <c r="D563" t="s">
        <v>4228</v>
      </c>
      <c r="E563" t="s">
        <v>3221</v>
      </c>
      <c r="F563">
        <v>29.09</v>
      </c>
    </row>
    <row r="564" spans="1:6" x14ac:dyDescent="0.2">
      <c r="A564">
        <v>563</v>
      </c>
      <c r="B564" t="s">
        <v>3662</v>
      </c>
      <c r="D564" t="s">
        <v>4229</v>
      </c>
      <c r="E564" t="s">
        <v>3221</v>
      </c>
      <c r="F564">
        <v>29.09</v>
      </c>
    </row>
    <row r="565" spans="1:6" x14ac:dyDescent="0.2">
      <c r="A565">
        <v>564</v>
      </c>
      <c r="B565" t="s">
        <v>3662</v>
      </c>
      <c r="D565" t="s">
        <v>4230</v>
      </c>
      <c r="E565" t="s">
        <v>3221</v>
      </c>
      <c r="F565">
        <v>29.09</v>
      </c>
    </row>
    <row r="566" spans="1:6" x14ac:dyDescent="0.2">
      <c r="A566">
        <v>565</v>
      </c>
      <c r="B566" t="s">
        <v>3662</v>
      </c>
      <c r="D566" t="s">
        <v>4231</v>
      </c>
      <c r="E566" t="s">
        <v>3221</v>
      </c>
      <c r="F566">
        <v>29.09</v>
      </c>
    </row>
    <row r="567" spans="1:6" x14ac:dyDescent="0.2">
      <c r="A567">
        <v>566</v>
      </c>
      <c r="B567" t="s">
        <v>3662</v>
      </c>
      <c r="D567" t="s">
        <v>4232</v>
      </c>
      <c r="E567" t="s">
        <v>3221</v>
      </c>
      <c r="F567">
        <v>29.09</v>
      </c>
    </row>
    <row r="568" spans="1:6" x14ac:dyDescent="0.2">
      <c r="A568">
        <v>567</v>
      </c>
      <c r="B568" t="s">
        <v>3662</v>
      </c>
      <c r="D568" t="s">
        <v>4233</v>
      </c>
      <c r="E568" t="s">
        <v>3221</v>
      </c>
      <c r="F568">
        <v>29.09</v>
      </c>
    </row>
    <row r="569" spans="1:6" x14ac:dyDescent="0.2">
      <c r="A569">
        <v>568</v>
      </c>
      <c r="B569" t="s">
        <v>3662</v>
      </c>
      <c r="D569" t="s">
        <v>4234</v>
      </c>
      <c r="E569" t="s">
        <v>3221</v>
      </c>
      <c r="F569">
        <v>29.09</v>
      </c>
    </row>
    <row r="570" spans="1:6" x14ac:dyDescent="0.2">
      <c r="A570">
        <v>569</v>
      </c>
      <c r="B570" t="s">
        <v>3662</v>
      </c>
      <c r="D570" t="s">
        <v>4235</v>
      </c>
      <c r="E570" t="s">
        <v>3221</v>
      </c>
      <c r="F570">
        <v>29.09</v>
      </c>
    </row>
    <row r="571" spans="1:6" x14ac:dyDescent="0.2">
      <c r="A571">
        <v>570</v>
      </c>
      <c r="B571" t="s">
        <v>3662</v>
      </c>
      <c r="D571" t="s">
        <v>4236</v>
      </c>
      <c r="E571" t="s">
        <v>3221</v>
      </c>
      <c r="F571">
        <v>29.09</v>
      </c>
    </row>
    <row r="572" spans="1:6" x14ac:dyDescent="0.2">
      <c r="A572">
        <v>571</v>
      </c>
      <c r="B572" t="s">
        <v>3662</v>
      </c>
      <c r="D572" t="s">
        <v>4237</v>
      </c>
      <c r="E572" t="s">
        <v>3221</v>
      </c>
      <c r="F572">
        <v>29.09</v>
      </c>
    </row>
    <row r="573" spans="1:6" x14ac:dyDescent="0.2">
      <c r="A573">
        <v>572</v>
      </c>
      <c r="B573" t="s">
        <v>3662</v>
      </c>
      <c r="D573" t="s">
        <v>4238</v>
      </c>
      <c r="E573" t="s">
        <v>3221</v>
      </c>
      <c r="F573">
        <v>29.09</v>
      </c>
    </row>
    <row r="574" spans="1:6" x14ac:dyDescent="0.2">
      <c r="A574">
        <v>573</v>
      </c>
      <c r="B574" t="s">
        <v>3662</v>
      </c>
      <c r="D574" t="s">
        <v>4239</v>
      </c>
      <c r="E574" t="s">
        <v>3221</v>
      </c>
      <c r="F574">
        <v>29.09</v>
      </c>
    </row>
    <row r="575" spans="1:6" x14ac:dyDescent="0.2">
      <c r="A575">
        <v>574</v>
      </c>
      <c r="B575" t="s">
        <v>3662</v>
      </c>
      <c r="D575" t="s">
        <v>4240</v>
      </c>
      <c r="E575" t="s">
        <v>3221</v>
      </c>
      <c r="F575">
        <v>29.09</v>
      </c>
    </row>
    <row r="576" spans="1:6" x14ac:dyDescent="0.2">
      <c r="A576">
        <v>575</v>
      </c>
      <c r="B576" t="s">
        <v>3662</v>
      </c>
      <c r="D576" t="s">
        <v>4241</v>
      </c>
      <c r="E576" t="s">
        <v>3221</v>
      </c>
      <c r="F576">
        <v>29.09</v>
      </c>
    </row>
    <row r="577" spans="1:6" x14ac:dyDescent="0.2">
      <c r="A577">
        <v>576</v>
      </c>
      <c r="B577" t="s">
        <v>3662</v>
      </c>
      <c r="D577" t="s">
        <v>4242</v>
      </c>
      <c r="E577" t="s">
        <v>3221</v>
      </c>
      <c r="F577">
        <v>29.09</v>
      </c>
    </row>
    <row r="578" spans="1:6" x14ac:dyDescent="0.2">
      <c r="A578">
        <v>577</v>
      </c>
      <c r="B578" t="s">
        <v>3662</v>
      </c>
      <c r="D578" t="s">
        <v>4243</v>
      </c>
      <c r="E578" t="s">
        <v>3221</v>
      </c>
      <c r="F578">
        <v>29.09</v>
      </c>
    </row>
    <row r="579" spans="1:6" x14ac:dyDescent="0.2">
      <c r="A579">
        <v>578</v>
      </c>
      <c r="B579" t="s">
        <v>3662</v>
      </c>
      <c r="D579" t="s">
        <v>4244</v>
      </c>
      <c r="E579" t="s">
        <v>3221</v>
      </c>
      <c r="F579">
        <v>29.09</v>
      </c>
    </row>
    <row r="580" spans="1:6" x14ac:dyDescent="0.2">
      <c r="A580">
        <v>579</v>
      </c>
      <c r="B580" t="s">
        <v>3662</v>
      </c>
      <c r="D580" t="s">
        <v>4245</v>
      </c>
      <c r="E580" t="s">
        <v>3221</v>
      </c>
      <c r="F580">
        <v>29.09</v>
      </c>
    </row>
    <row r="581" spans="1:6" x14ac:dyDescent="0.2">
      <c r="A581">
        <v>580</v>
      </c>
      <c r="B581" t="s">
        <v>3662</v>
      </c>
      <c r="D581" t="s">
        <v>4246</v>
      </c>
      <c r="E581" t="s">
        <v>3221</v>
      </c>
      <c r="F581">
        <v>29.09</v>
      </c>
    </row>
    <row r="582" spans="1:6" x14ac:dyDescent="0.2">
      <c r="A582">
        <v>581</v>
      </c>
      <c r="B582" t="s">
        <v>3662</v>
      </c>
      <c r="D582" t="s">
        <v>4247</v>
      </c>
      <c r="E582" t="s">
        <v>3221</v>
      </c>
      <c r="F582">
        <v>29.09</v>
      </c>
    </row>
    <row r="583" spans="1:6" x14ac:dyDescent="0.2">
      <c r="A583">
        <v>582</v>
      </c>
      <c r="B583" t="s">
        <v>3662</v>
      </c>
      <c r="D583" t="s">
        <v>4248</v>
      </c>
      <c r="E583" t="s">
        <v>3221</v>
      </c>
      <c r="F583">
        <v>29.09</v>
      </c>
    </row>
    <row r="584" spans="1:6" x14ac:dyDescent="0.2">
      <c r="A584">
        <v>583</v>
      </c>
      <c r="B584" t="s">
        <v>3662</v>
      </c>
      <c r="D584" t="s">
        <v>4249</v>
      </c>
      <c r="E584" t="s">
        <v>3221</v>
      </c>
      <c r="F584">
        <v>29.09</v>
      </c>
    </row>
    <row r="585" spans="1:6" x14ac:dyDescent="0.2">
      <c r="A585">
        <v>584</v>
      </c>
      <c r="B585" t="s">
        <v>3662</v>
      </c>
      <c r="D585" t="s">
        <v>4250</v>
      </c>
      <c r="E585" t="s">
        <v>3221</v>
      </c>
      <c r="F585">
        <v>29.09</v>
      </c>
    </row>
    <row r="586" spans="1:6" x14ac:dyDescent="0.2">
      <c r="A586">
        <v>585</v>
      </c>
      <c r="B586" t="s">
        <v>3662</v>
      </c>
      <c r="D586" t="s">
        <v>4251</v>
      </c>
      <c r="E586" t="s">
        <v>3221</v>
      </c>
      <c r="F586">
        <v>29.09</v>
      </c>
    </row>
    <row r="587" spans="1:6" x14ac:dyDescent="0.2">
      <c r="A587">
        <v>586</v>
      </c>
      <c r="B587" t="s">
        <v>3662</v>
      </c>
      <c r="D587" t="s">
        <v>4252</v>
      </c>
      <c r="E587" t="s">
        <v>3221</v>
      </c>
      <c r="F587">
        <v>29.09</v>
      </c>
    </row>
    <row r="588" spans="1:6" x14ac:dyDescent="0.2">
      <c r="A588">
        <v>587</v>
      </c>
      <c r="B588" t="s">
        <v>3662</v>
      </c>
      <c r="D588" t="s">
        <v>4253</v>
      </c>
      <c r="E588" t="s">
        <v>3221</v>
      </c>
      <c r="F588">
        <v>29.09</v>
      </c>
    </row>
    <row r="589" spans="1:6" x14ac:dyDescent="0.2">
      <c r="A589">
        <v>588</v>
      </c>
      <c r="B589" t="s">
        <v>3662</v>
      </c>
      <c r="D589" t="s">
        <v>4254</v>
      </c>
      <c r="E589" t="s">
        <v>3221</v>
      </c>
      <c r="F589">
        <v>29.09</v>
      </c>
    </row>
    <row r="590" spans="1:6" x14ac:dyDescent="0.2">
      <c r="A590">
        <v>589</v>
      </c>
      <c r="B590" t="s">
        <v>3662</v>
      </c>
      <c r="D590" t="s">
        <v>4255</v>
      </c>
      <c r="E590" t="s">
        <v>3221</v>
      </c>
      <c r="F590">
        <v>29.09</v>
      </c>
    </row>
    <row r="591" spans="1:6" x14ac:dyDescent="0.2">
      <c r="A591">
        <v>590</v>
      </c>
      <c r="B591" t="s">
        <v>3662</v>
      </c>
      <c r="D591" t="s">
        <v>4256</v>
      </c>
      <c r="E591" t="s">
        <v>3221</v>
      </c>
      <c r="F591">
        <v>29.09</v>
      </c>
    </row>
    <row r="592" spans="1:6" x14ac:dyDescent="0.2">
      <c r="A592">
        <v>591</v>
      </c>
      <c r="B592" t="s">
        <v>3662</v>
      </c>
      <c r="D592" t="s">
        <v>4257</v>
      </c>
      <c r="E592" t="s">
        <v>3221</v>
      </c>
      <c r="F592">
        <v>29.09</v>
      </c>
    </row>
    <row r="593" spans="1:6" x14ac:dyDescent="0.2">
      <c r="A593">
        <v>592</v>
      </c>
      <c r="B593" t="s">
        <v>3662</v>
      </c>
      <c r="D593" t="s">
        <v>4258</v>
      </c>
      <c r="E593" t="s">
        <v>3221</v>
      </c>
      <c r="F593">
        <v>29.09</v>
      </c>
    </row>
    <row r="594" spans="1:6" x14ac:dyDescent="0.2">
      <c r="A594">
        <v>593</v>
      </c>
      <c r="B594" t="s">
        <v>3662</v>
      </c>
      <c r="D594" t="s">
        <v>4259</v>
      </c>
      <c r="E594" t="s">
        <v>3221</v>
      </c>
      <c r="F594">
        <v>29.09</v>
      </c>
    </row>
    <row r="595" spans="1:6" x14ac:dyDescent="0.2">
      <c r="A595">
        <v>594</v>
      </c>
      <c r="B595" t="s">
        <v>3662</v>
      </c>
      <c r="D595" t="s">
        <v>4260</v>
      </c>
      <c r="E595" t="s">
        <v>3221</v>
      </c>
      <c r="F595">
        <v>29.09</v>
      </c>
    </row>
    <row r="596" spans="1:6" x14ac:dyDescent="0.2">
      <c r="A596">
        <v>595</v>
      </c>
      <c r="B596" t="s">
        <v>3662</v>
      </c>
      <c r="D596" t="s">
        <v>4261</v>
      </c>
      <c r="E596" t="s">
        <v>3221</v>
      </c>
      <c r="F596">
        <v>29.09</v>
      </c>
    </row>
    <row r="597" spans="1:6" x14ac:dyDescent="0.2">
      <c r="A597">
        <v>596</v>
      </c>
      <c r="B597" t="s">
        <v>3662</v>
      </c>
      <c r="D597" t="s">
        <v>4262</v>
      </c>
      <c r="E597" t="s">
        <v>3221</v>
      </c>
      <c r="F597">
        <v>29.09</v>
      </c>
    </row>
    <row r="598" spans="1:6" x14ac:dyDescent="0.2">
      <c r="A598">
        <v>597</v>
      </c>
      <c r="B598" t="s">
        <v>3662</v>
      </c>
      <c r="D598" t="s">
        <v>4263</v>
      </c>
      <c r="E598" t="s">
        <v>3221</v>
      </c>
      <c r="F598">
        <v>29.09</v>
      </c>
    </row>
    <row r="599" spans="1:6" x14ac:dyDescent="0.2">
      <c r="A599">
        <v>598</v>
      </c>
      <c r="B599" t="s">
        <v>3662</v>
      </c>
      <c r="D599" t="s">
        <v>4264</v>
      </c>
      <c r="E599" t="s">
        <v>3221</v>
      </c>
      <c r="F599">
        <v>29.09</v>
      </c>
    </row>
    <row r="600" spans="1:6" x14ac:dyDescent="0.2">
      <c r="A600">
        <v>599</v>
      </c>
      <c r="B600" t="s">
        <v>3662</v>
      </c>
      <c r="D600" t="s">
        <v>4265</v>
      </c>
      <c r="E600" t="s">
        <v>3221</v>
      </c>
      <c r="F600">
        <v>29.09</v>
      </c>
    </row>
    <row r="601" spans="1:6" x14ac:dyDescent="0.2">
      <c r="A601">
        <v>600</v>
      </c>
      <c r="B601" t="s">
        <v>3662</v>
      </c>
      <c r="D601" t="s">
        <v>4266</v>
      </c>
      <c r="E601" t="s">
        <v>3221</v>
      </c>
      <c r="F601">
        <v>29.09</v>
      </c>
    </row>
    <row r="602" spans="1:6" x14ac:dyDescent="0.2">
      <c r="A602">
        <v>601</v>
      </c>
      <c r="B602" t="s">
        <v>3662</v>
      </c>
      <c r="D602" t="s">
        <v>4267</v>
      </c>
      <c r="E602" t="s">
        <v>3221</v>
      </c>
      <c r="F602">
        <v>29.09</v>
      </c>
    </row>
    <row r="603" spans="1:6" x14ac:dyDescent="0.2">
      <c r="A603">
        <v>602</v>
      </c>
      <c r="B603" t="s">
        <v>3662</v>
      </c>
      <c r="D603" t="s">
        <v>4268</v>
      </c>
      <c r="E603" t="s">
        <v>3221</v>
      </c>
      <c r="F603">
        <v>29.09</v>
      </c>
    </row>
    <row r="604" spans="1:6" x14ac:dyDescent="0.2">
      <c r="A604">
        <v>603</v>
      </c>
      <c r="B604" t="s">
        <v>3662</v>
      </c>
      <c r="D604" t="s">
        <v>4269</v>
      </c>
      <c r="E604" t="s">
        <v>3221</v>
      </c>
      <c r="F604">
        <v>29.09</v>
      </c>
    </row>
    <row r="605" spans="1:6" x14ac:dyDescent="0.2">
      <c r="A605">
        <v>604</v>
      </c>
      <c r="B605" t="s">
        <v>3662</v>
      </c>
      <c r="D605" t="s">
        <v>4270</v>
      </c>
      <c r="E605" t="s">
        <v>3221</v>
      </c>
      <c r="F605">
        <v>29.09</v>
      </c>
    </row>
    <row r="606" spans="1:6" x14ac:dyDescent="0.2">
      <c r="A606">
        <v>605</v>
      </c>
      <c r="B606" t="s">
        <v>3662</v>
      </c>
      <c r="D606" t="s">
        <v>4271</v>
      </c>
      <c r="E606" t="s">
        <v>3221</v>
      </c>
      <c r="F606">
        <v>29.09</v>
      </c>
    </row>
    <row r="607" spans="1:6" x14ac:dyDescent="0.2">
      <c r="A607">
        <v>606</v>
      </c>
      <c r="B607" t="s">
        <v>3662</v>
      </c>
      <c r="D607" t="s">
        <v>4272</v>
      </c>
      <c r="E607" t="s">
        <v>3221</v>
      </c>
      <c r="F607">
        <v>29.09</v>
      </c>
    </row>
    <row r="608" spans="1:6" x14ac:dyDescent="0.2">
      <c r="A608">
        <v>607</v>
      </c>
      <c r="B608" t="s">
        <v>3662</v>
      </c>
      <c r="D608" t="s">
        <v>4273</v>
      </c>
      <c r="E608" t="s">
        <v>3221</v>
      </c>
      <c r="F608">
        <v>29.09</v>
      </c>
    </row>
    <row r="609" spans="1:6" x14ac:dyDescent="0.2">
      <c r="A609">
        <v>608</v>
      </c>
      <c r="B609" t="s">
        <v>3662</v>
      </c>
      <c r="D609" t="s">
        <v>4274</v>
      </c>
      <c r="E609" t="s">
        <v>3221</v>
      </c>
      <c r="F609">
        <v>29.09</v>
      </c>
    </row>
    <row r="610" spans="1:6" x14ac:dyDescent="0.2">
      <c r="A610">
        <v>609</v>
      </c>
      <c r="B610" t="s">
        <v>3662</v>
      </c>
      <c r="D610" t="s">
        <v>4275</v>
      </c>
      <c r="E610" t="s">
        <v>3221</v>
      </c>
      <c r="F610">
        <v>29.09</v>
      </c>
    </row>
    <row r="611" spans="1:6" x14ac:dyDescent="0.2">
      <c r="A611">
        <v>610</v>
      </c>
      <c r="B611" t="s">
        <v>3662</v>
      </c>
      <c r="D611" t="s">
        <v>4276</v>
      </c>
      <c r="E611" t="s">
        <v>3221</v>
      </c>
      <c r="F611">
        <v>29.09</v>
      </c>
    </row>
    <row r="612" spans="1:6" x14ac:dyDescent="0.2">
      <c r="A612">
        <v>611</v>
      </c>
      <c r="B612" t="s">
        <v>3662</v>
      </c>
      <c r="D612" t="s">
        <v>4277</v>
      </c>
      <c r="E612" t="s">
        <v>3221</v>
      </c>
      <c r="F612">
        <v>29.09</v>
      </c>
    </row>
    <row r="613" spans="1:6" x14ac:dyDescent="0.2">
      <c r="A613">
        <v>612</v>
      </c>
      <c r="B613" t="s">
        <v>3662</v>
      </c>
      <c r="D613" t="s">
        <v>4278</v>
      </c>
      <c r="E613" t="s">
        <v>3221</v>
      </c>
      <c r="F613">
        <v>29.09</v>
      </c>
    </row>
    <row r="614" spans="1:6" x14ac:dyDescent="0.2">
      <c r="A614">
        <v>613</v>
      </c>
      <c r="B614" t="s">
        <v>3662</v>
      </c>
      <c r="D614" t="s">
        <v>4279</v>
      </c>
      <c r="E614" t="s">
        <v>3221</v>
      </c>
      <c r="F614">
        <v>29.09</v>
      </c>
    </row>
    <row r="615" spans="1:6" x14ac:dyDescent="0.2">
      <c r="A615">
        <v>614</v>
      </c>
      <c r="B615" t="s">
        <v>3662</v>
      </c>
      <c r="D615" t="s">
        <v>4280</v>
      </c>
      <c r="E615" t="s">
        <v>3221</v>
      </c>
      <c r="F615">
        <v>29.09</v>
      </c>
    </row>
    <row r="616" spans="1:6" x14ac:dyDescent="0.2">
      <c r="A616">
        <v>615</v>
      </c>
      <c r="B616" t="s">
        <v>3662</v>
      </c>
      <c r="D616" t="s">
        <v>4281</v>
      </c>
      <c r="E616" t="s">
        <v>3221</v>
      </c>
      <c r="F616">
        <v>29.09</v>
      </c>
    </row>
    <row r="617" spans="1:6" x14ac:dyDescent="0.2">
      <c r="A617">
        <v>616</v>
      </c>
      <c r="B617" t="s">
        <v>3662</v>
      </c>
      <c r="D617" t="s">
        <v>4282</v>
      </c>
      <c r="E617" t="s">
        <v>3221</v>
      </c>
      <c r="F617">
        <v>29.09</v>
      </c>
    </row>
    <row r="618" spans="1:6" x14ac:dyDescent="0.2">
      <c r="A618">
        <v>617</v>
      </c>
      <c r="B618" t="s">
        <v>3662</v>
      </c>
      <c r="D618" t="s">
        <v>4283</v>
      </c>
      <c r="E618" t="s">
        <v>3221</v>
      </c>
      <c r="F618">
        <v>29.09</v>
      </c>
    </row>
    <row r="619" spans="1:6" x14ac:dyDescent="0.2">
      <c r="A619">
        <v>618</v>
      </c>
      <c r="B619" t="s">
        <v>3662</v>
      </c>
      <c r="D619" t="s">
        <v>4284</v>
      </c>
      <c r="E619" t="s">
        <v>3221</v>
      </c>
      <c r="F619">
        <v>29.09</v>
      </c>
    </row>
    <row r="620" spans="1:6" x14ac:dyDescent="0.2">
      <c r="A620">
        <v>619</v>
      </c>
      <c r="B620" t="s">
        <v>3662</v>
      </c>
      <c r="D620" t="s">
        <v>4285</v>
      </c>
      <c r="E620" t="s">
        <v>3221</v>
      </c>
      <c r="F620">
        <v>29.09</v>
      </c>
    </row>
    <row r="621" spans="1:6" x14ac:dyDescent="0.2">
      <c r="A621">
        <v>620</v>
      </c>
      <c r="B621" t="s">
        <v>3662</v>
      </c>
      <c r="D621" t="s">
        <v>4286</v>
      </c>
      <c r="E621" t="s">
        <v>3221</v>
      </c>
      <c r="F621">
        <v>29.09</v>
      </c>
    </row>
    <row r="622" spans="1:6" x14ac:dyDescent="0.2">
      <c r="A622">
        <v>621</v>
      </c>
      <c r="B622" t="s">
        <v>3662</v>
      </c>
      <c r="D622" t="s">
        <v>4287</v>
      </c>
      <c r="E622" t="s">
        <v>3221</v>
      </c>
      <c r="F622">
        <v>29.09</v>
      </c>
    </row>
    <row r="623" spans="1:6" x14ac:dyDescent="0.2">
      <c r="A623">
        <v>622</v>
      </c>
      <c r="B623" t="s">
        <v>3662</v>
      </c>
      <c r="D623" t="s">
        <v>4288</v>
      </c>
      <c r="E623" t="s">
        <v>3221</v>
      </c>
      <c r="F623">
        <v>29.09</v>
      </c>
    </row>
    <row r="624" spans="1:6" x14ac:dyDescent="0.2">
      <c r="A624">
        <v>623</v>
      </c>
      <c r="B624" t="s">
        <v>3662</v>
      </c>
      <c r="D624" t="s">
        <v>4289</v>
      </c>
      <c r="E624" t="s">
        <v>3221</v>
      </c>
      <c r="F624">
        <v>29.09</v>
      </c>
    </row>
    <row r="625" spans="1:6" x14ac:dyDescent="0.2">
      <c r="A625">
        <v>624</v>
      </c>
      <c r="B625" t="s">
        <v>3662</v>
      </c>
      <c r="D625" t="s">
        <v>4290</v>
      </c>
      <c r="E625" t="s">
        <v>3221</v>
      </c>
      <c r="F625">
        <v>29.09</v>
      </c>
    </row>
    <row r="626" spans="1:6" x14ac:dyDescent="0.2">
      <c r="A626">
        <v>625</v>
      </c>
      <c r="B626" t="s">
        <v>3662</v>
      </c>
      <c r="D626" t="s">
        <v>4291</v>
      </c>
      <c r="E626" t="s">
        <v>3221</v>
      </c>
      <c r="F626">
        <v>29.09</v>
      </c>
    </row>
    <row r="627" spans="1:6" x14ac:dyDescent="0.2">
      <c r="A627">
        <v>626</v>
      </c>
      <c r="B627" t="s">
        <v>3662</v>
      </c>
      <c r="D627" t="s">
        <v>4292</v>
      </c>
      <c r="E627" t="s">
        <v>3221</v>
      </c>
      <c r="F627">
        <v>29.09</v>
      </c>
    </row>
    <row r="628" spans="1:6" x14ac:dyDescent="0.2">
      <c r="A628">
        <v>627</v>
      </c>
      <c r="B628" t="s">
        <v>3662</v>
      </c>
      <c r="D628" t="s">
        <v>4293</v>
      </c>
      <c r="E628" t="s">
        <v>3221</v>
      </c>
      <c r="F628">
        <v>29.09</v>
      </c>
    </row>
    <row r="629" spans="1:6" x14ac:dyDescent="0.2">
      <c r="A629">
        <v>628</v>
      </c>
      <c r="B629" t="s">
        <v>3662</v>
      </c>
      <c r="D629" t="s">
        <v>4294</v>
      </c>
      <c r="E629" t="s">
        <v>3221</v>
      </c>
      <c r="F629">
        <v>29.09</v>
      </c>
    </row>
    <row r="630" spans="1:6" x14ac:dyDescent="0.2">
      <c r="A630">
        <v>629</v>
      </c>
      <c r="B630" t="s">
        <v>3662</v>
      </c>
      <c r="D630" t="s">
        <v>4295</v>
      </c>
      <c r="E630" t="s">
        <v>3221</v>
      </c>
      <c r="F630">
        <v>29.09</v>
      </c>
    </row>
    <row r="631" spans="1:6" x14ac:dyDescent="0.2">
      <c r="A631">
        <v>630</v>
      </c>
      <c r="B631" t="s">
        <v>3662</v>
      </c>
      <c r="D631" t="s">
        <v>4296</v>
      </c>
      <c r="E631" t="s">
        <v>3221</v>
      </c>
      <c r="F631">
        <v>29.09</v>
      </c>
    </row>
    <row r="632" spans="1:6" x14ac:dyDescent="0.2">
      <c r="A632">
        <v>631</v>
      </c>
      <c r="B632" t="s">
        <v>3662</v>
      </c>
      <c r="D632" t="s">
        <v>4297</v>
      </c>
      <c r="E632" t="s">
        <v>3221</v>
      </c>
      <c r="F632">
        <v>29.09</v>
      </c>
    </row>
    <row r="633" spans="1:6" x14ac:dyDescent="0.2">
      <c r="A633">
        <v>632</v>
      </c>
      <c r="B633" t="s">
        <v>3662</v>
      </c>
      <c r="D633" t="s">
        <v>4298</v>
      </c>
      <c r="E633" t="s">
        <v>3221</v>
      </c>
      <c r="F633">
        <v>29.09</v>
      </c>
    </row>
    <row r="634" spans="1:6" x14ac:dyDescent="0.2">
      <c r="A634">
        <v>633</v>
      </c>
      <c r="B634" t="s">
        <v>3662</v>
      </c>
      <c r="D634" t="s">
        <v>4299</v>
      </c>
      <c r="E634" t="s">
        <v>3221</v>
      </c>
      <c r="F634">
        <v>29.09</v>
      </c>
    </row>
    <row r="635" spans="1:6" x14ac:dyDescent="0.2">
      <c r="A635">
        <v>634</v>
      </c>
      <c r="B635" t="s">
        <v>3662</v>
      </c>
      <c r="D635" t="s">
        <v>4300</v>
      </c>
      <c r="E635" t="s">
        <v>3221</v>
      </c>
      <c r="F635">
        <v>29.09</v>
      </c>
    </row>
    <row r="636" spans="1:6" x14ac:dyDescent="0.2">
      <c r="A636">
        <v>635</v>
      </c>
      <c r="B636" t="s">
        <v>3662</v>
      </c>
      <c r="D636" t="s">
        <v>4301</v>
      </c>
      <c r="E636" t="s">
        <v>3221</v>
      </c>
      <c r="F636">
        <v>29.09</v>
      </c>
    </row>
    <row r="637" spans="1:6" x14ac:dyDescent="0.2">
      <c r="A637">
        <v>636</v>
      </c>
      <c r="B637" t="s">
        <v>3662</v>
      </c>
      <c r="D637" t="s">
        <v>4302</v>
      </c>
      <c r="E637" t="s">
        <v>3221</v>
      </c>
      <c r="F637">
        <v>29.09</v>
      </c>
    </row>
    <row r="638" spans="1:6" x14ac:dyDescent="0.2">
      <c r="A638">
        <v>637</v>
      </c>
      <c r="B638" t="s">
        <v>3662</v>
      </c>
      <c r="D638" t="s">
        <v>4303</v>
      </c>
      <c r="E638" t="s">
        <v>3221</v>
      </c>
      <c r="F638">
        <v>29.09</v>
      </c>
    </row>
    <row r="639" spans="1:6" x14ac:dyDescent="0.2">
      <c r="A639">
        <v>638</v>
      </c>
      <c r="B639" t="s">
        <v>3662</v>
      </c>
      <c r="D639" t="s">
        <v>4304</v>
      </c>
      <c r="E639" t="s">
        <v>3221</v>
      </c>
      <c r="F639">
        <v>29.09</v>
      </c>
    </row>
    <row r="640" spans="1:6" x14ac:dyDescent="0.2">
      <c r="A640">
        <v>639</v>
      </c>
      <c r="B640" t="s">
        <v>3662</v>
      </c>
      <c r="D640" t="s">
        <v>4305</v>
      </c>
      <c r="E640" t="s">
        <v>3221</v>
      </c>
      <c r="F640">
        <v>29.09</v>
      </c>
    </row>
    <row r="641" spans="1:6" x14ac:dyDescent="0.2">
      <c r="A641">
        <v>640</v>
      </c>
      <c r="B641" t="s">
        <v>3662</v>
      </c>
      <c r="D641" t="s">
        <v>4306</v>
      </c>
      <c r="E641" t="s">
        <v>3221</v>
      </c>
      <c r="F641">
        <v>29.09</v>
      </c>
    </row>
    <row r="642" spans="1:6" x14ac:dyDescent="0.2">
      <c r="A642">
        <v>641</v>
      </c>
      <c r="B642" t="s">
        <v>3662</v>
      </c>
      <c r="D642" t="s">
        <v>4307</v>
      </c>
      <c r="E642" t="s">
        <v>3221</v>
      </c>
      <c r="F642">
        <v>29.09</v>
      </c>
    </row>
    <row r="643" spans="1:6" x14ac:dyDescent="0.2">
      <c r="A643">
        <v>642</v>
      </c>
      <c r="B643" t="s">
        <v>3662</v>
      </c>
      <c r="D643" t="s">
        <v>4308</v>
      </c>
      <c r="E643" t="s">
        <v>3221</v>
      </c>
      <c r="F643">
        <v>29.09</v>
      </c>
    </row>
    <row r="644" spans="1:6" x14ac:dyDescent="0.2">
      <c r="A644">
        <v>643</v>
      </c>
      <c r="B644" t="s">
        <v>3662</v>
      </c>
      <c r="D644" t="s">
        <v>4309</v>
      </c>
      <c r="E644" t="s">
        <v>3221</v>
      </c>
      <c r="F644">
        <v>29.09</v>
      </c>
    </row>
    <row r="645" spans="1:6" x14ac:dyDescent="0.2">
      <c r="A645">
        <v>644</v>
      </c>
      <c r="B645" t="s">
        <v>3662</v>
      </c>
      <c r="D645" t="s">
        <v>4310</v>
      </c>
      <c r="E645" t="s">
        <v>3221</v>
      </c>
      <c r="F645">
        <v>29.09</v>
      </c>
    </row>
    <row r="646" spans="1:6" x14ac:dyDescent="0.2">
      <c r="A646">
        <v>645</v>
      </c>
      <c r="B646" t="s">
        <v>3662</v>
      </c>
      <c r="D646" t="s">
        <v>4311</v>
      </c>
      <c r="E646" t="s">
        <v>3221</v>
      </c>
      <c r="F646">
        <v>29.09</v>
      </c>
    </row>
    <row r="647" spans="1:6" x14ac:dyDescent="0.2">
      <c r="A647">
        <v>646</v>
      </c>
      <c r="B647" t="s">
        <v>3662</v>
      </c>
      <c r="D647" t="s">
        <v>4312</v>
      </c>
      <c r="E647" t="s">
        <v>3221</v>
      </c>
      <c r="F647">
        <v>29.09</v>
      </c>
    </row>
    <row r="648" spans="1:6" x14ac:dyDescent="0.2">
      <c r="A648">
        <v>647</v>
      </c>
      <c r="B648" t="s">
        <v>3662</v>
      </c>
      <c r="D648" t="s">
        <v>4313</v>
      </c>
      <c r="E648" t="s">
        <v>3221</v>
      </c>
      <c r="F648">
        <v>29.09</v>
      </c>
    </row>
    <row r="649" spans="1:6" x14ac:dyDescent="0.2">
      <c r="A649">
        <v>648</v>
      </c>
      <c r="B649" t="s">
        <v>3662</v>
      </c>
      <c r="D649" t="s">
        <v>4314</v>
      </c>
      <c r="E649" t="s">
        <v>3221</v>
      </c>
      <c r="F649">
        <v>29.09</v>
      </c>
    </row>
    <row r="650" spans="1:6" x14ac:dyDescent="0.2">
      <c r="A650">
        <v>649</v>
      </c>
      <c r="B650" t="s">
        <v>3662</v>
      </c>
      <c r="D650" t="s">
        <v>4315</v>
      </c>
      <c r="E650" t="s">
        <v>3221</v>
      </c>
      <c r="F650">
        <v>29.09</v>
      </c>
    </row>
    <row r="651" spans="1:6" x14ac:dyDescent="0.2">
      <c r="A651">
        <v>650</v>
      </c>
      <c r="B651" t="s">
        <v>3662</v>
      </c>
      <c r="D651" t="s">
        <v>4316</v>
      </c>
      <c r="E651" t="s">
        <v>3221</v>
      </c>
      <c r="F651">
        <v>29.09</v>
      </c>
    </row>
    <row r="652" spans="1:6" x14ac:dyDescent="0.2">
      <c r="A652">
        <v>651</v>
      </c>
      <c r="B652" t="s">
        <v>3662</v>
      </c>
      <c r="D652" t="s">
        <v>4317</v>
      </c>
      <c r="E652" t="s">
        <v>3221</v>
      </c>
      <c r="F652">
        <v>29.09</v>
      </c>
    </row>
    <row r="653" spans="1:6" x14ac:dyDescent="0.2">
      <c r="A653">
        <v>652</v>
      </c>
      <c r="B653" t="s">
        <v>3662</v>
      </c>
      <c r="D653" t="s">
        <v>4318</v>
      </c>
      <c r="E653" t="s">
        <v>3221</v>
      </c>
      <c r="F653">
        <v>29.09</v>
      </c>
    </row>
    <row r="654" spans="1:6" x14ac:dyDescent="0.2">
      <c r="A654">
        <v>653</v>
      </c>
      <c r="B654" t="s">
        <v>4444</v>
      </c>
      <c r="D654" t="s">
        <v>4319</v>
      </c>
      <c r="E654" t="s">
        <v>3221</v>
      </c>
      <c r="F654">
        <v>29.09</v>
      </c>
    </row>
    <row r="655" spans="1:6" x14ac:dyDescent="0.2">
      <c r="A655">
        <v>654</v>
      </c>
      <c r="B655" t="s">
        <v>4444</v>
      </c>
      <c r="D655" t="s">
        <v>4320</v>
      </c>
      <c r="E655" t="s">
        <v>3221</v>
      </c>
      <c r="F655">
        <v>29.09</v>
      </c>
    </row>
    <row r="656" spans="1:6" x14ac:dyDescent="0.2">
      <c r="A656">
        <v>655</v>
      </c>
      <c r="B656" t="s">
        <v>4444</v>
      </c>
      <c r="D656" t="s">
        <v>4321</v>
      </c>
      <c r="E656" t="s">
        <v>3221</v>
      </c>
      <c r="F656">
        <v>29.09</v>
      </c>
    </row>
    <row r="657" spans="1:6" x14ac:dyDescent="0.2">
      <c r="A657">
        <v>656</v>
      </c>
      <c r="B657" t="s">
        <v>4444</v>
      </c>
      <c r="D657" t="s">
        <v>4322</v>
      </c>
      <c r="E657" t="s">
        <v>3221</v>
      </c>
      <c r="F657">
        <v>29.09</v>
      </c>
    </row>
    <row r="658" spans="1:6" x14ac:dyDescent="0.2">
      <c r="A658">
        <v>657</v>
      </c>
      <c r="B658" t="s">
        <v>4444</v>
      </c>
      <c r="D658" t="s">
        <v>4323</v>
      </c>
      <c r="E658" t="s">
        <v>3221</v>
      </c>
      <c r="F658">
        <v>29.09</v>
      </c>
    </row>
    <row r="659" spans="1:6" x14ac:dyDescent="0.2">
      <c r="A659">
        <v>658</v>
      </c>
      <c r="B659" t="s">
        <v>4444</v>
      </c>
      <c r="D659" t="s">
        <v>4324</v>
      </c>
      <c r="E659" t="s">
        <v>3221</v>
      </c>
      <c r="F659">
        <v>29.09</v>
      </c>
    </row>
    <row r="660" spans="1:6" x14ac:dyDescent="0.2">
      <c r="A660">
        <v>659</v>
      </c>
      <c r="B660" t="s">
        <v>4444</v>
      </c>
      <c r="D660" t="s">
        <v>4325</v>
      </c>
      <c r="E660" t="s">
        <v>3221</v>
      </c>
      <c r="F660">
        <v>29.09</v>
      </c>
    </row>
    <row r="661" spans="1:6" x14ac:dyDescent="0.2">
      <c r="A661">
        <v>660</v>
      </c>
      <c r="B661" t="s">
        <v>4444</v>
      </c>
      <c r="D661" t="s">
        <v>4326</v>
      </c>
      <c r="E661" t="s">
        <v>3221</v>
      </c>
      <c r="F661">
        <v>29.09</v>
      </c>
    </row>
    <row r="662" spans="1:6" x14ac:dyDescent="0.2">
      <c r="A662">
        <v>661</v>
      </c>
      <c r="B662" t="s">
        <v>4444</v>
      </c>
      <c r="D662" t="s">
        <v>4327</v>
      </c>
      <c r="E662" t="s">
        <v>3221</v>
      </c>
      <c r="F662">
        <v>29.09</v>
      </c>
    </row>
    <row r="663" spans="1:6" x14ac:dyDescent="0.2">
      <c r="A663">
        <v>662</v>
      </c>
      <c r="B663" t="s">
        <v>4444</v>
      </c>
      <c r="D663" t="s">
        <v>4328</v>
      </c>
      <c r="E663" t="s">
        <v>3221</v>
      </c>
      <c r="F663">
        <v>29.09</v>
      </c>
    </row>
    <row r="664" spans="1:6" x14ac:dyDescent="0.2">
      <c r="A664">
        <v>663</v>
      </c>
      <c r="B664" t="s">
        <v>4444</v>
      </c>
      <c r="D664" t="s">
        <v>4329</v>
      </c>
      <c r="E664" t="s">
        <v>3221</v>
      </c>
      <c r="F664">
        <v>29.09</v>
      </c>
    </row>
    <row r="665" spans="1:6" x14ac:dyDescent="0.2">
      <c r="A665">
        <v>664</v>
      </c>
      <c r="B665" t="s">
        <v>4444</v>
      </c>
      <c r="D665" t="s">
        <v>4330</v>
      </c>
      <c r="E665" t="s">
        <v>3221</v>
      </c>
      <c r="F665">
        <v>29.09</v>
      </c>
    </row>
    <row r="666" spans="1:6" x14ac:dyDescent="0.2">
      <c r="A666">
        <v>665</v>
      </c>
      <c r="B666" t="s">
        <v>4444</v>
      </c>
      <c r="D666" t="s">
        <v>4331</v>
      </c>
      <c r="E666" t="s">
        <v>3221</v>
      </c>
      <c r="F666">
        <v>29.09</v>
      </c>
    </row>
    <row r="667" spans="1:6" x14ac:dyDescent="0.2">
      <c r="A667">
        <v>666</v>
      </c>
      <c r="B667" t="s">
        <v>4444</v>
      </c>
      <c r="D667" t="s">
        <v>4332</v>
      </c>
      <c r="E667" t="s">
        <v>3221</v>
      </c>
      <c r="F667">
        <v>29.09</v>
      </c>
    </row>
    <row r="668" spans="1:6" x14ac:dyDescent="0.2">
      <c r="A668">
        <v>667</v>
      </c>
      <c r="B668" t="s">
        <v>4444</v>
      </c>
      <c r="D668" t="s">
        <v>4333</v>
      </c>
      <c r="E668" t="s">
        <v>3221</v>
      </c>
      <c r="F668">
        <v>29.09</v>
      </c>
    </row>
    <row r="669" spans="1:6" x14ac:dyDescent="0.2">
      <c r="A669">
        <v>668</v>
      </c>
      <c r="B669" t="s">
        <v>4444</v>
      </c>
      <c r="D669" t="s">
        <v>4334</v>
      </c>
      <c r="E669" t="s">
        <v>3221</v>
      </c>
      <c r="F669">
        <v>29.09</v>
      </c>
    </row>
    <row r="670" spans="1:6" x14ac:dyDescent="0.2">
      <c r="A670">
        <v>669</v>
      </c>
      <c r="B670" t="s">
        <v>4444</v>
      </c>
      <c r="D670" t="s">
        <v>4335</v>
      </c>
      <c r="E670" t="s">
        <v>3221</v>
      </c>
      <c r="F670">
        <v>29.09</v>
      </c>
    </row>
    <row r="671" spans="1:6" x14ac:dyDescent="0.2">
      <c r="A671">
        <v>670</v>
      </c>
      <c r="B671" t="s">
        <v>4444</v>
      </c>
      <c r="D671" t="s">
        <v>4336</v>
      </c>
      <c r="E671" t="s">
        <v>3221</v>
      </c>
      <c r="F671">
        <v>29.09</v>
      </c>
    </row>
    <row r="672" spans="1:6" x14ac:dyDescent="0.2">
      <c r="A672">
        <v>671</v>
      </c>
      <c r="B672" t="s">
        <v>4444</v>
      </c>
      <c r="D672" t="s">
        <v>4337</v>
      </c>
      <c r="E672" t="s">
        <v>3221</v>
      </c>
      <c r="F672">
        <v>29.09</v>
      </c>
    </row>
    <row r="673" spans="1:6" x14ac:dyDescent="0.2">
      <c r="A673">
        <v>672</v>
      </c>
      <c r="B673" t="s">
        <v>4444</v>
      </c>
      <c r="D673" t="s">
        <v>4338</v>
      </c>
      <c r="E673" t="s">
        <v>3221</v>
      </c>
      <c r="F673">
        <v>29.09</v>
      </c>
    </row>
    <row r="674" spans="1:6" x14ac:dyDescent="0.2">
      <c r="A674">
        <v>673</v>
      </c>
      <c r="B674" t="s">
        <v>4444</v>
      </c>
      <c r="D674" t="s">
        <v>4339</v>
      </c>
      <c r="E674" t="s">
        <v>3221</v>
      </c>
      <c r="F674">
        <v>29.09</v>
      </c>
    </row>
    <row r="675" spans="1:6" x14ac:dyDescent="0.2">
      <c r="A675">
        <v>674</v>
      </c>
      <c r="B675" t="s">
        <v>4444</v>
      </c>
      <c r="D675" t="s">
        <v>4340</v>
      </c>
      <c r="E675" t="s">
        <v>3221</v>
      </c>
      <c r="F675">
        <v>29.09</v>
      </c>
    </row>
    <row r="676" spans="1:6" x14ac:dyDescent="0.2">
      <c r="A676">
        <v>675</v>
      </c>
      <c r="B676" t="s">
        <v>4444</v>
      </c>
      <c r="D676" t="s">
        <v>4341</v>
      </c>
      <c r="E676" t="s">
        <v>3221</v>
      </c>
      <c r="F676">
        <v>29.09</v>
      </c>
    </row>
    <row r="677" spans="1:6" x14ac:dyDescent="0.2">
      <c r="A677">
        <v>676</v>
      </c>
      <c r="B677" t="s">
        <v>4444</v>
      </c>
      <c r="D677" t="s">
        <v>4342</v>
      </c>
      <c r="E677" t="s">
        <v>3221</v>
      </c>
      <c r="F677">
        <v>29.09</v>
      </c>
    </row>
    <row r="678" spans="1:6" x14ac:dyDescent="0.2">
      <c r="A678">
        <v>677</v>
      </c>
      <c r="B678" t="s">
        <v>4444</v>
      </c>
      <c r="D678" t="s">
        <v>4343</v>
      </c>
      <c r="E678" t="s">
        <v>3221</v>
      </c>
      <c r="F678">
        <v>29.09</v>
      </c>
    </row>
    <row r="679" spans="1:6" x14ac:dyDescent="0.2">
      <c r="A679">
        <v>678</v>
      </c>
      <c r="B679" t="s">
        <v>4444</v>
      </c>
      <c r="D679" t="s">
        <v>4344</v>
      </c>
      <c r="E679" t="s">
        <v>3221</v>
      </c>
      <c r="F679">
        <v>29.09</v>
      </c>
    </row>
    <row r="680" spans="1:6" x14ac:dyDescent="0.2">
      <c r="A680">
        <v>679</v>
      </c>
      <c r="B680" t="s">
        <v>4444</v>
      </c>
      <c r="D680" t="s">
        <v>4345</v>
      </c>
      <c r="E680" t="s">
        <v>3221</v>
      </c>
      <c r="F680">
        <v>29.09</v>
      </c>
    </row>
    <row r="681" spans="1:6" x14ac:dyDescent="0.2">
      <c r="A681">
        <v>680</v>
      </c>
      <c r="B681" t="s">
        <v>4444</v>
      </c>
      <c r="D681" t="s">
        <v>4346</v>
      </c>
      <c r="E681" t="s">
        <v>3221</v>
      </c>
      <c r="F681">
        <v>29.09</v>
      </c>
    </row>
    <row r="682" spans="1:6" x14ac:dyDescent="0.2">
      <c r="A682">
        <v>681</v>
      </c>
      <c r="B682" t="s">
        <v>4444</v>
      </c>
      <c r="D682" t="s">
        <v>4347</v>
      </c>
      <c r="E682" t="s">
        <v>3221</v>
      </c>
      <c r="F682">
        <v>29.09</v>
      </c>
    </row>
    <row r="683" spans="1:6" x14ac:dyDescent="0.2">
      <c r="A683">
        <v>682</v>
      </c>
      <c r="B683" t="s">
        <v>4444</v>
      </c>
      <c r="D683" t="s">
        <v>4348</v>
      </c>
      <c r="E683" t="s">
        <v>3221</v>
      </c>
      <c r="F683">
        <v>29.09</v>
      </c>
    </row>
    <row r="684" spans="1:6" x14ac:dyDescent="0.2">
      <c r="A684">
        <v>683</v>
      </c>
      <c r="B684" t="s">
        <v>4444</v>
      </c>
      <c r="D684" t="s">
        <v>4349</v>
      </c>
      <c r="E684" t="s">
        <v>3221</v>
      </c>
      <c r="F684">
        <v>29.09</v>
      </c>
    </row>
    <row r="685" spans="1:6" x14ac:dyDescent="0.2">
      <c r="A685">
        <v>684</v>
      </c>
      <c r="B685" t="s">
        <v>4444</v>
      </c>
      <c r="D685" t="s">
        <v>4350</v>
      </c>
      <c r="E685" t="s">
        <v>3221</v>
      </c>
      <c r="F685">
        <v>29.09</v>
      </c>
    </row>
    <row r="686" spans="1:6" x14ac:dyDescent="0.2">
      <c r="A686">
        <v>685</v>
      </c>
      <c r="B686" t="s">
        <v>4444</v>
      </c>
      <c r="D686" t="s">
        <v>4351</v>
      </c>
      <c r="E686" t="s">
        <v>3221</v>
      </c>
      <c r="F686">
        <v>29.09</v>
      </c>
    </row>
    <row r="687" spans="1:6" x14ac:dyDescent="0.2">
      <c r="A687">
        <v>686</v>
      </c>
      <c r="B687" t="s">
        <v>4444</v>
      </c>
      <c r="D687" t="s">
        <v>4352</v>
      </c>
      <c r="E687" t="s">
        <v>3221</v>
      </c>
      <c r="F687">
        <v>29.09</v>
      </c>
    </row>
    <row r="688" spans="1:6" x14ac:dyDescent="0.2">
      <c r="A688">
        <v>687</v>
      </c>
      <c r="B688" t="s">
        <v>4444</v>
      </c>
      <c r="D688" t="s">
        <v>4353</v>
      </c>
      <c r="E688" t="s">
        <v>3221</v>
      </c>
      <c r="F688">
        <v>29.09</v>
      </c>
    </row>
    <row r="689" spans="1:6" x14ac:dyDescent="0.2">
      <c r="A689">
        <v>688</v>
      </c>
      <c r="B689" t="s">
        <v>4444</v>
      </c>
      <c r="D689" t="s">
        <v>4354</v>
      </c>
      <c r="E689" t="s">
        <v>3221</v>
      </c>
      <c r="F689">
        <v>29.09</v>
      </c>
    </row>
    <row r="690" spans="1:6" x14ac:dyDescent="0.2">
      <c r="A690">
        <v>689</v>
      </c>
      <c r="B690" t="s">
        <v>4444</v>
      </c>
      <c r="D690" t="s">
        <v>4355</v>
      </c>
      <c r="E690" t="s">
        <v>3221</v>
      </c>
      <c r="F690">
        <v>29.09</v>
      </c>
    </row>
    <row r="691" spans="1:6" x14ac:dyDescent="0.2">
      <c r="A691">
        <v>690</v>
      </c>
      <c r="B691" t="s">
        <v>4444</v>
      </c>
      <c r="D691" t="s">
        <v>4356</v>
      </c>
      <c r="E691" t="s">
        <v>3221</v>
      </c>
      <c r="F691">
        <v>29.09</v>
      </c>
    </row>
    <row r="692" spans="1:6" x14ac:dyDescent="0.2">
      <c r="A692">
        <v>691</v>
      </c>
      <c r="B692" t="s">
        <v>4444</v>
      </c>
      <c r="D692" t="s">
        <v>4357</v>
      </c>
      <c r="E692" t="s">
        <v>3221</v>
      </c>
      <c r="F692">
        <v>29.09</v>
      </c>
    </row>
    <row r="693" spans="1:6" x14ac:dyDescent="0.2">
      <c r="A693">
        <v>692</v>
      </c>
      <c r="B693" t="s">
        <v>4444</v>
      </c>
      <c r="D693" t="s">
        <v>4358</v>
      </c>
      <c r="E693" t="s">
        <v>3221</v>
      </c>
      <c r="F693">
        <v>29.09</v>
      </c>
    </row>
    <row r="694" spans="1:6" x14ac:dyDescent="0.2">
      <c r="A694">
        <v>693</v>
      </c>
      <c r="B694" t="s">
        <v>4444</v>
      </c>
      <c r="D694" t="s">
        <v>4359</v>
      </c>
      <c r="E694" t="s">
        <v>3221</v>
      </c>
      <c r="F694">
        <v>29.09</v>
      </c>
    </row>
    <row r="695" spans="1:6" x14ac:dyDescent="0.2">
      <c r="A695">
        <v>694</v>
      </c>
      <c r="B695" t="s">
        <v>4444</v>
      </c>
      <c r="D695" t="s">
        <v>4360</v>
      </c>
      <c r="E695" t="s">
        <v>3221</v>
      </c>
      <c r="F695">
        <v>29.09</v>
      </c>
    </row>
    <row r="696" spans="1:6" x14ac:dyDescent="0.2">
      <c r="A696">
        <v>695</v>
      </c>
      <c r="B696" t="s">
        <v>4444</v>
      </c>
      <c r="D696" t="s">
        <v>4361</v>
      </c>
      <c r="E696" t="s">
        <v>3221</v>
      </c>
      <c r="F696">
        <v>29.09</v>
      </c>
    </row>
    <row r="697" spans="1:6" x14ac:dyDescent="0.2">
      <c r="A697">
        <v>696</v>
      </c>
      <c r="B697" t="s">
        <v>4444</v>
      </c>
      <c r="D697" t="s">
        <v>4362</v>
      </c>
      <c r="E697" t="s">
        <v>3221</v>
      </c>
      <c r="F697">
        <v>29.09</v>
      </c>
    </row>
    <row r="698" spans="1:6" x14ac:dyDescent="0.2">
      <c r="A698">
        <v>697</v>
      </c>
      <c r="B698" t="s">
        <v>4444</v>
      </c>
      <c r="D698" t="s">
        <v>4363</v>
      </c>
      <c r="E698" t="s">
        <v>3221</v>
      </c>
      <c r="F698">
        <v>29.09</v>
      </c>
    </row>
    <row r="699" spans="1:6" x14ac:dyDescent="0.2">
      <c r="A699">
        <v>698</v>
      </c>
      <c r="B699" t="s">
        <v>4444</v>
      </c>
      <c r="D699" t="s">
        <v>4364</v>
      </c>
      <c r="E699" t="s">
        <v>3221</v>
      </c>
      <c r="F699">
        <v>29.09</v>
      </c>
    </row>
    <row r="700" spans="1:6" x14ac:dyDescent="0.2">
      <c r="A700">
        <v>699</v>
      </c>
      <c r="B700" t="s">
        <v>4444</v>
      </c>
      <c r="D700" t="s">
        <v>4365</v>
      </c>
      <c r="E700" t="s">
        <v>3221</v>
      </c>
      <c r="F700">
        <v>29.09</v>
      </c>
    </row>
    <row r="701" spans="1:6" x14ac:dyDescent="0.2">
      <c r="A701">
        <v>700</v>
      </c>
      <c r="B701" t="s">
        <v>4444</v>
      </c>
      <c r="D701" t="s">
        <v>4366</v>
      </c>
      <c r="E701" t="s">
        <v>3221</v>
      </c>
      <c r="F701">
        <v>29.09</v>
      </c>
    </row>
    <row r="702" spans="1:6" x14ac:dyDescent="0.2">
      <c r="A702">
        <v>701</v>
      </c>
      <c r="B702" t="s">
        <v>4444</v>
      </c>
      <c r="D702" t="s">
        <v>4367</v>
      </c>
      <c r="E702" t="s">
        <v>3221</v>
      </c>
      <c r="F702">
        <v>29.09</v>
      </c>
    </row>
    <row r="703" spans="1:6" x14ac:dyDescent="0.2">
      <c r="A703">
        <v>702</v>
      </c>
      <c r="B703" t="s">
        <v>4444</v>
      </c>
      <c r="D703" t="s">
        <v>4368</v>
      </c>
      <c r="E703" t="s">
        <v>3221</v>
      </c>
      <c r="F703">
        <v>29.09</v>
      </c>
    </row>
    <row r="704" spans="1:6" x14ac:dyDescent="0.2">
      <c r="A704">
        <v>703</v>
      </c>
      <c r="B704" t="s">
        <v>4444</v>
      </c>
      <c r="D704" t="s">
        <v>4369</v>
      </c>
      <c r="E704" t="s">
        <v>3221</v>
      </c>
      <c r="F704">
        <v>29.09</v>
      </c>
    </row>
    <row r="705" spans="1:6" x14ac:dyDescent="0.2">
      <c r="A705">
        <v>704</v>
      </c>
      <c r="B705" t="s">
        <v>4444</v>
      </c>
      <c r="D705" t="s">
        <v>4370</v>
      </c>
      <c r="E705" t="s">
        <v>3221</v>
      </c>
      <c r="F705">
        <v>29.09</v>
      </c>
    </row>
    <row r="706" spans="1:6" x14ac:dyDescent="0.2">
      <c r="A706">
        <v>705</v>
      </c>
      <c r="B706" t="s">
        <v>4444</v>
      </c>
      <c r="D706" t="s">
        <v>4371</v>
      </c>
      <c r="E706" t="s">
        <v>3221</v>
      </c>
      <c r="F706">
        <v>29.09</v>
      </c>
    </row>
    <row r="707" spans="1:6" x14ac:dyDescent="0.2">
      <c r="A707">
        <v>706</v>
      </c>
      <c r="B707" t="s">
        <v>4444</v>
      </c>
      <c r="D707" t="s">
        <v>4372</v>
      </c>
      <c r="E707" t="s">
        <v>3221</v>
      </c>
      <c r="F707">
        <v>29.09</v>
      </c>
    </row>
    <row r="708" spans="1:6" x14ac:dyDescent="0.2">
      <c r="A708">
        <v>707</v>
      </c>
      <c r="B708" t="s">
        <v>4444</v>
      </c>
      <c r="D708" t="s">
        <v>4373</v>
      </c>
      <c r="E708" t="s">
        <v>3221</v>
      </c>
      <c r="F708">
        <v>29.09</v>
      </c>
    </row>
    <row r="709" spans="1:6" x14ac:dyDescent="0.2">
      <c r="A709">
        <v>708</v>
      </c>
      <c r="B709" t="s">
        <v>4444</v>
      </c>
      <c r="D709" t="s">
        <v>4374</v>
      </c>
      <c r="E709" t="s">
        <v>3221</v>
      </c>
      <c r="F709">
        <v>29.09</v>
      </c>
    </row>
    <row r="710" spans="1:6" x14ac:dyDescent="0.2">
      <c r="A710">
        <v>709</v>
      </c>
      <c r="B710" t="s">
        <v>4444</v>
      </c>
      <c r="D710" t="s">
        <v>4375</v>
      </c>
      <c r="E710" t="s">
        <v>3221</v>
      </c>
      <c r="F710">
        <v>29.09</v>
      </c>
    </row>
    <row r="711" spans="1:6" x14ac:dyDescent="0.2">
      <c r="A711">
        <v>710</v>
      </c>
      <c r="B711" t="s">
        <v>4444</v>
      </c>
      <c r="D711" t="s">
        <v>4376</v>
      </c>
      <c r="E711" t="s">
        <v>3221</v>
      </c>
      <c r="F711">
        <v>29.09</v>
      </c>
    </row>
    <row r="712" spans="1:6" x14ac:dyDescent="0.2">
      <c r="A712">
        <v>711</v>
      </c>
      <c r="B712" t="s">
        <v>4444</v>
      </c>
      <c r="D712" t="s">
        <v>4377</v>
      </c>
      <c r="E712" t="s">
        <v>3221</v>
      </c>
      <c r="F712">
        <v>29.09</v>
      </c>
    </row>
    <row r="713" spans="1:6" x14ac:dyDescent="0.2">
      <c r="A713">
        <v>712</v>
      </c>
      <c r="B713" t="s">
        <v>4444</v>
      </c>
      <c r="D713" t="s">
        <v>4378</v>
      </c>
      <c r="E713" t="s">
        <v>3221</v>
      </c>
      <c r="F713">
        <v>29.09</v>
      </c>
    </row>
    <row r="714" spans="1:6" x14ac:dyDescent="0.2">
      <c r="A714">
        <v>713</v>
      </c>
      <c r="B714" t="s">
        <v>4444</v>
      </c>
      <c r="D714" t="s">
        <v>4379</v>
      </c>
      <c r="E714" t="s">
        <v>3221</v>
      </c>
      <c r="F714">
        <v>29.09</v>
      </c>
    </row>
    <row r="715" spans="1:6" x14ac:dyDescent="0.2">
      <c r="A715">
        <v>714</v>
      </c>
      <c r="B715" t="s">
        <v>4444</v>
      </c>
      <c r="D715" t="s">
        <v>4380</v>
      </c>
      <c r="E715" t="s">
        <v>3221</v>
      </c>
      <c r="F715">
        <v>29.09</v>
      </c>
    </row>
    <row r="716" spans="1:6" x14ac:dyDescent="0.2">
      <c r="A716">
        <v>715</v>
      </c>
      <c r="B716" t="s">
        <v>4444</v>
      </c>
      <c r="D716" t="s">
        <v>4381</v>
      </c>
      <c r="E716" t="s">
        <v>3221</v>
      </c>
      <c r="F716">
        <v>29.09</v>
      </c>
    </row>
    <row r="717" spans="1:6" x14ac:dyDescent="0.2">
      <c r="A717">
        <v>716</v>
      </c>
      <c r="B717" t="s">
        <v>4444</v>
      </c>
      <c r="D717" t="s">
        <v>4382</v>
      </c>
      <c r="E717" t="s">
        <v>3221</v>
      </c>
      <c r="F717">
        <v>29.09</v>
      </c>
    </row>
    <row r="718" spans="1:6" x14ac:dyDescent="0.2">
      <c r="A718">
        <v>717</v>
      </c>
      <c r="B718" t="s">
        <v>4444</v>
      </c>
      <c r="D718" t="s">
        <v>4383</v>
      </c>
      <c r="E718" t="s">
        <v>3221</v>
      </c>
      <c r="F718">
        <v>29.09</v>
      </c>
    </row>
    <row r="719" spans="1:6" x14ac:dyDescent="0.2">
      <c r="A719">
        <v>718</v>
      </c>
      <c r="B719" t="s">
        <v>4444</v>
      </c>
      <c r="D719" t="s">
        <v>4384</v>
      </c>
      <c r="E719" t="s">
        <v>3221</v>
      </c>
      <c r="F719">
        <v>29.09</v>
      </c>
    </row>
    <row r="720" spans="1:6" x14ac:dyDescent="0.2">
      <c r="A720">
        <v>719</v>
      </c>
      <c r="B720" t="s">
        <v>4444</v>
      </c>
      <c r="D720" t="s">
        <v>4385</v>
      </c>
      <c r="E720" t="s">
        <v>3221</v>
      </c>
      <c r="F720">
        <v>29.09</v>
      </c>
    </row>
    <row r="721" spans="1:6" x14ac:dyDescent="0.2">
      <c r="A721">
        <v>720</v>
      </c>
      <c r="B721" t="s">
        <v>4444</v>
      </c>
      <c r="D721" t="s">
        <v>4386</v>
      </c>
      <c r="E721" t="s">
        <v>3221</v>
      </c>
      <c r="F721">
        <v>29.09</v>
      </c>
    </row>
    <row r="722" spans="1:6" x14ac:dyDescent="0.2">
      <c r="A722">
        <v>721</v>
      </c>
      <c r="B722" t="s">
        <v>4444</v>
      </c>
      <c r="D722" t="s">
        <v>4387</v>
      </c>
      <c r="E722" t="s">
        <v>3221</v>
      </c>
      <c r="F722">
        <v>29.09</v>
      </c>
    </row>
    <row r="723" spans="1:6" x14ac:dyDescent="0.2">
      <c r="A723">
        <v>722</v>
      </c>
      <c r="B723" t="s">
        <v>4444</v>
      </c>
      <c r="D723" t="s">
        <v>4388</v>
      </c>
      <c r="E723" t="s">
        <v>3221</v>
      </c>
      <c r="F723">
        <v>29.09</v>
      </c>
    </row>
    <row r="724" spans="1:6" x14ac:dyDescent="0.2">
      <c r="A724">
        <v>723</v>
      </c>
      <c r="B724" t="s">
        <v>4444</v>
      </c>
      <c r="D724" t="s">
        <v>4389</v>
      </c>
      <c r="E724" t="s">
        <v>3221</v>
      </c>
      <c r="F724">
        <v>29.09</v>
      </c>
    </row>
    <row r="725" spans="1:6" x14ac:dyDescent="0.2">
      <c r="A725">
        <v>724</v>
      </c>
      <c r="B725" t="s">
        <v>4444</v>
      </c>
      <c r="D725" t="s">
        <v>4390</v>
      </c>
      <c r="E725" t="s">
        <v>3221</v>
      </c>
      <c r="F725">
        <v>29.09</v>
      </c>
    </row>
    <row r="726" spans="1:6" x14ac:dyDescent="0.2">
      <c r="A726">
        <v>725</v>
      </c>
      <c r="B726" t="s">
        <v>4444</v>
      </c>
      <c r="D726" t="s">
        <v>4391</v>
      </c>
      <c r="E726" t="s">
        <v>3221</v>
      </c>
      <c r="F726">
        <v>29.09</v>
      </c>
    </row>
    <row r="727" spans="1:6" x14ac:dyDescent="0.2">
      <c r="A727">
        <v>726</v>
      </c>
      <c r="B727" t="s">
        <v>4444</v>
      </c>
      <c r="D727" t="s">
        <v>4392</v>
      </c>
      <c r="E727" t="s">
        <v>3221</v>
      </c>
      <c r="F727">
        <v>29.09</v>
      </c>
    </row>
    <row r="728" spans="1:6" x14ac:dyDescent="0.2">
      <c r="A728">
        <v>727</v>
      </c>
      <c r="B728" t="s">
        <v>4444</v>
      </c>
      <c r="D728" t="s">
        <v>4393</v>
      </c>
      <c r="E728" t="s">
        <v>3221</v>
      </c>
      <c r="F728">
        <v>29.09</v>
      </c>
    </row>
    <row r="729" spans="1:6" x14ac:dyDescent="0.2">
      <c r="A729">
        <v>728</v>
      </c>
      <c r="B729" t="s">
        <v>4444</v>
      </c>
      <c r="D729" t="s">
        <v>4394</v>
      </c>
      <c r="E729" t="s">
        <v>3221</v>
      </c>
      <c r="F729">
        <v>29.09</v>
      </c>
    </row>
    <row r="730" spans="1:6" x14ac:dyDescent="0.2">
      <c r="A730">
        <v>729</v>
      </c>
      <c r="B730" t="s">
        <v>4444</v>
      </c>
      <c r="D730" t="s">
        <v>4395</v>
      </c>
      <c r="E730" t="s">
        <v>3221</v>
      </c>
      <c r="F730">
        <v>29.09</v>
      </c>
    </row>
    <row r="731" spans="1:6" x14ac:dyDescent="0.2">
      <c r="A731">
        <v>730</v>
      </c>
      <c r="B731" t="s">
        <v>4444</v>
      </c>
      <c r="D731" t="s">
        <v>4396</v>
      </c>
      <c r="E731" t="s">
        <v>3221</v>
      </c>
      <c r="F731">
        <v>29.09</v>
      </c>
    </row>
    <row r="732" spans="1:6" x14ac:dyDescent="0.2">
      <c r="A732">
        <v>731</v>
      </c>
      <c r="B732" t="s">
        <v>4444</v>
      </c>
      <c r="D732" t="s">
        <v>4397</v>
      </c>
      <c r="E732" t="s">
        <v>3221</v>
      </c>
      <c r="F732">
        <v>29.09</v>
      </c>
    </row>
    <row r="733" spans="1:6" x14ac:dyDescent="0.2">
      <c r="A733">
        <v>732</v>
      </c>
      <c r="B733" t="s">
        <v>4444</v>
      </c>
      <c r="D733" t="s">
        <v>4398</v>
      </c>
      <c r="E733" t="s">
        <v>3221</v>
      </c>
      <c r="F733">
        <v>29.09</v>
      </c>
    </row>
    <row r="734" spans="1:6" x14ac:dyDescent="0.2">
      <c r="A734">
        <v>733</v>
      </c>
      <c r="B734" t="s">
        <v>4444</v>
      </c>
      <c r="D734" t="s">
        <v>4399</v>
      </c>
      <c r="E734" t="s">
        <v>3221</v>
      </c>
      <c r="F734">
        <v>29.09</v>
      </c>
    </row>
    <row r="735" spans="1:6" x14ac:dyDescent="0.2">
      <c r="A735">
        <v>734</v>
      </c>
      <c r="B735" t="s">
        <v>4444</v>
      </c>
      <c r="D735" t="s">
        <v>4400</v>
      </c>
      <c r="E735" t="s">
        <v>3221</v>
      </c>
      <c r="F735">
        <v>29.09</v>
      </c>
    </row>
    <row r="736" spans="1:6" x14ac:dyDescent="0.2">
      <c r="A736">
        <v>735</v>
      </c>
      <c r="B736" t="s">
        <v>4444</v>
      </c>
      <c r="D736" t="s">
        <v>4401</v>
      </c>
      <c r="E736" t="s">
        <v>3221</v>
      </c>
      <c r="F736">
        <v>29.09</v>
      </c>
    </row>
    <row r="737" spans="1:6" x14ac:dyDescent="0.2">
      <c r="A737">
        <v>736</v>
      </c>
      <c r="B737" t="s">
        <v>4444</v>
      </c>
      <c r="D737" t="s">
        <v>4402</v>
      </c>
      <c r="E737" t="s">
        <v>3221</v>
      </c>
      <c r="F737">
        <v>29.09</v>
      </c>
    </row>
    <row r="738" spans="1:6" x14ac:dyDescent="0.2">
      <c r="A738">
        <v>737</v>
      </c>
      <c r="B738" t="s">
        <v>4444</v>
      </c>
      <c r="D738" t="s">
        <v>4403</v>
      </c>
      <c r="E738" t="s">
        <v>3221</v>
      </c>
      <c r="F738">
        <v>29.09</v>
      </c>
    </row>
    <row r="739" spans="1:6" x14ac:dyDescent="0.2">
      <c r="A739">
        <v>738</v>
      </c>
      <c r="B739" t="s">
        <v>4444</v>
      </c>
      <c r="D739" t="s">
        <v>4404</v>
      </c>
      <c r="E739" t="s">
        <v>3221</v>
      </c>
      <c r="F739">
        <v>29.09</v>
      </c>
    </row>
    <row r="740" spans="1:6" x14ac:dyDescent="0.2">
      <c r="A740">
        <v>739</v>
      </c>
      <c r="B740" t="s">
        <v>4444</v>
      </c>
      <c r="D740" t="s">
        <v>4405</v>
      </c>
      <c r="E740" t="s">
        <v>3221</v>
      </c>
      <c r="F740">
        <v>29.09</v>
      </c>
    </row>
    <row r="741" spans="1:6" x14ac:dyDescent="0.2">
      <c r="A741">
        <v>740</v>
      </c>
      <c r="B741" t="s">
        <v>4444</v>
      </c>
      <c r="D741" t="s">
        <v>4406</v>
      </c>
      <c r="E741" t="s">
        <v>3221</v>
      </c>
      <c r="F741">
        <v>29.09</v>
      </c>
    </row>
    <row r="742" spans="1:6" x14ac:dyDescent="0.2">
      <c r="A742">
        <v>741</v>
      </c>
      <c r="B742" t="s">
        <v>4444</v>
      </c>
      <c r="D742" t="s">
        <v>4407</v>
      </c>
      <c r="E742" t="s">
        <v>3221</v>
      </c>
      <c r="F742">
        <v>29.09</v>
      </c>
    </row>
    <row r="743" spans="1:6" x14ac:dyDescent="0.2">
      <c r="A743">
        <v>742</v>
      </c>
      <c r="B743" t="s">
        <v>4444</v>
      </c>
      <c r="D743" t="s">
        <v>4408</v>
      </c>
      <c r="E743" t="s">
        <v>3221</v>
      </c>
      <c r="F743">
        <v>29.09</v>
      </c>
    </row>
    <row r="744" spans="1:6" x14ac:dyDescent="0.2">
      <c r="A744">
        <v>743</v>
      </c>
      <c r="B744" t="s">
        <v>4444</v>
      </c>
      <c r="D744" t="s">
        <v>4409</v>
      </c>
      <c r="E744" t="s">
        <v>3221</v>
      </c>
      <c r="F744">
        <v>29.09</v>
      </c>
    </row>
    <row r="745" spans="1:6" x14ac:dyDescent="0.2">
      <c r="A745">
        <v>744</v>
      </c>
      <c r="B745" t="s">
        <v>4444</v>
      </c>
      <c r="D745" t="s">
        <v>4410</v>
      </c>
      <c r="E745" t="s">
        <v>3221</v>
      </c>
      <c r="F745">
        <v>29.09</v>
      </c>
    </row>
    <row r="746" spans="1:6" x14ac:dyDescent="0.2">
      <c r="A746">
        <v>745</v>
      </c>
      <c r="B746" t="s">
        <v>4444</v>
      </c>
      <c r="D746" t="s">
        <v>4411</v>
      </c>
      <c r="E746" t="s">
        <v>3221</v>
      </c>
      <c r="F746">
        <v>29.09</v>
      </c>
    </row>
    <row r="747" spans="1:6" x14ac:dyDescent="0.2">
      <c r="A747">
        <v>746</v>
      </c>
      <c r="B747" t="s">
        <v>4444</v>
      </c>
      <c r="D747" t="s">
        <v>4412</v>
      </c>
      <c r="E747" t="s">
        <v>3221</v>
      </c>
      <c r="F747">
        <v>29.09</v>
      </c>
    </row>
    <row r="748" spans="1:6" x14ac:dyDescent="0.2">
      <c r="A748">
        <v>747</v>
      </c>
      <c r="B748" t="s">
        <v>4444</v>
      </c>
      <c r="D748" t="s">
        <v>4413</v>
      </c>
      <c r="E748" t="s">
        <v>3221</v>
      </c>
      <c r="F748">
        <v>29.09</v>
      </c>
    </row>
    <row r="749" spans="1:6" x14ac:dyDescent="0.2">
      <c r="A749">
        <v>748</v>
      </c>
      <c r="B749" t="s">
        <v>4444</v>
      </c>
      <c r="D749" t="s">
        <v>4414</v>
      </c>
      <c r="E749" t="s">
        <v>3221</v>
      </c>
      <c r="F749">
        <v>29.09</v>
      </c>
    </row>
    <row r="750" spans="1:6" x14ac:dyDescent="0.2">
      <c r="A750">
        <v>749</v>
      </c>
      <c r="B750" t="s">
        <v>4444</v>
      </c>
      <c r="D750" t="s">
        <v>4415</v>
      </c>
      <c r="E750" t="s">
        <v>3221</v>
      </c>
      <c r="F750">
        <v>29.09</v>
      </c>
    </row>
    <row r="751" spans="1:6" x14ac:dyDescent="0.2">
      <c r="A751">
        <v>750</v>
      </c>
      <c r="B751" t="s">
        <v>4444</v>
      </c>
      <c r="D751" t="s">
        <v>4416</v>
      </c>
      <c r="E751" t="s">
        <v>3221</v>
      </c>
      <c r="F751">
        <v>29.09</v>
      </c>
    </row>
    <row r="752" spans="1:6" x14ac:dyDescent="0.2">
      <c r="A752">
        <v>751</v>
      </c>
      <c r="B752" t="s">
        <v>4444</v>
      </c>
      <c r="D752" t="s">
        <v>4417</v>
      </c>
      <c r="E752" t="s">
        <v>3221</v>
      </c>
      <c r="F752">
        <v>29.09</v>
      </c>
    </row>
    <row r="753" spans="1:6" x14ac:dyDescent="0.2">
      <c r="A753">
        <v>752</v>
      </c>
      <c r="B753" t="s">
        <v>4444</v>
      </c>
      <c r="D753" t="s">
        <v>4418</v>
      </c>
      <c r="E753" t="s">
        <v>3221</v>
      </c>
      <c r="F753">
        <v>29.09</v>
      </c>
    </row>
    <row r="754" spans="1:6" x14ac:dyDescent="0.2">
      <c r="A754">
        <v>753</v>
      </c>
      <c r="B754" t="s">
        <v>4444</v>
      </c>
      <c r="D754" t="s">
        <v>4419</v>
      </c>
      <c r="E754" t="s">
        <v>3221</v>
      </c>
      <c r="F754">
        <v>29.09</v>
      </c>
    </row>
    <row r="755" spans="1:6" x14ac:dyDescent="0.2">
      <c r="A755">
        <v>754</v>
      </c>
      <c r="B755" t="s">
        <v>4444</v>
      </c>
      <c r="D755" t="s">
        <v>4420</v>
      </c>
      <c r="E755" t="s">
        <v>3221</v>
      </c>
      <c r="F755">
        <v>29.09</v>
      </c>
    </row>
    <row r="756" spans="1:6" x14ac:dyDescent="0.2">
      <c r="A756">
        <v>755</v>
      </c>
      <c r="B756" t="s">
        <v>4444</v>
      </c>
      <c r="D756" t="s">
        <v>4421</v>
      </c>
      <c r="E756" t="s">
        <v>3221</v>
      </c>
      <c r="F756">
        <v>29.09</v>
      </c>
    </row>
    <row r="757" spans="1:6" x14ac:dyDescent="0.2">
      <c r="A757">
        <v>756</v>
      </c>
      <c r="B757" t="s">
        <v>4444</v>
      </c>
      <c r="D757" t="s">
        <v>4422</v>
      </c>
      <c r="E757" t="s">
        <v>3221</v>
      </c>
      <c r="F757">
        <v>29.09</v>
      </c>
    </row>
    <row r="758" spans="1:6" x14ac:dyDescent="0.2">
      <c r="A758">
        <v>757</v>
      </c>
      <c r="B758" t="s">
        <v>4444</v>
      </c>
      <c r="D758" t="s">
        <v>4423</v>
      </c>
      <c r="E758" t="s">
        <v>3221</v>
      </c>
      <c r="F758">
        <v>29.09</v>
      </c>
    </row>
    <row r="759" spans="1:6" x14ac:dyDescent="0.2">
      <c r="A759">
        <v>758</v>
      </c>
      <c r="B759" t="s">
        <v>4444</v>
      </c>
      <c r="D759" t="s">
        <v>4424</v>
      </c>
      <c r="E759" t="s">
        <v>3221</v>
      </c>
      <c r="F759">
        <v>29.09</v>
      </c>
    </row>
    <row r="760" spans="1:6" x14ac:dyDescent="0.2">
      <c r="A760">
        <v>759</v>
      </c>
      <c r="B760" t="s">
        <v>4444</v>
      </c>
      <c r="D760" t="s">
        <v>4425</v>
      </c>
      <c r="E760" t="s">
        <v>3221</v>
      </c>
      <c r="F760">
        <v>29.09</v>
      </c>
    </row>
    <row r="761" spans="1:6" x14ac:dyDescent="0.2">
      <c r="A761">
        <v>760</v>
      </c>
      <c r="B761" t="s">
        <v>4444</v>
      </c>
      <c r="D761" t="s">
        <v>4426</v>
      </c>
      <c r="E761" t="s">
        <v>3221</v>
      </c>
      <c r="F761">
        <v>29.09</v>
      </c>
    </row>
    <row r="762" spans="1:6" x14ac:dyDescent="0.2">
      <c r="A762">
        <v>761</v>
      </c>
      <c r="B762" t="s">
        <v>4444</v>
      </c>
      <c r="D762" t="s">
        <v>4427</v>
      </c>
      <c r="E762" t="s">
        <v>3221</v>
      </c>
      <c r="F762">
        <v>29.09</v>
      </c>
    </row>
    <row r="763" spans="1:6" x14ac:dyDescent="0.2">
      <c r="A763">
        <v>762</v>
      </c>
      <c r="B763" t="s">
        <v>4444</v>
      </c>
      <c r="D763" t="s">
        <v>4428</v>
      </c>
      <c r="E763" t="s">
        <v>3221</v>
      </c>
      <c r="F763">
        <v>29.09</v>
      </c>
    </row>
    <row r="764" spans="1:6" x14ac:dyDescent="0.2">
      <c r="A764">
        <v>763</v>
      </c>
      <c r="B764" t="s">
        <v>4444</v>
      </c>
      <c r="D764" t="s">
        <v>4429</v>
      </c>
      <c r="E764" t="s">
        <v>3221</v>
      </c>
      <c r="F764">
        <v>29.09</v>
      </c>
    </row>
    <row r="765" spans="1:6" x14ac:dyDescent="0.2">
      <c r="A765">
        <v>764</v>
      </c>
      <c r="B765" t="s">
        <v>4444</v>
      </c>
      <c r="D765" t="s">
        <v>4430</v>
      </c>
      <c r="E765" t="s">
        <v>3221</v>
      </c>
      <c r="F765">
        <v>29.09</v>
      </c>
    </row>
    <row r="766" spans="1:6" x14ac:dyDescent="0.2">
      <c r="A766">
        <v>765</v>
      </c>
      <c r="B766" t="s">
        <v>4444</v>
      </c>
      <c r="D766" t="s">
        <v>4431</v>
      </c>
      <c r="E766" t="s">
        <v>3221</v>
      </c>
      <c r="F766">
        <v>29.09</v>
      </c>
    </row>
    <row r="767" spans="1:6" x14ac:dyDescent="0.2">
      <c r="A767">
        <v>766</v>
      </c>
      <c r="B767" t="s">
        <v>4444</v>
      </c>
      <c r="D767" t="s">
        <v>4432</v>
      </c>
      <c r="E767" t="s">
        <v>3221</v>
      </c>
      <c r="F767">
        <v>29.09</v>
      </c>
    </row>
    <row r="768" spans="1:6" x14ac:dyDescent="0.2">
      <c r="A768">
        <v>767</v>
      </c>
      <c r="B768" t="s">
        <v>4444</v>
      </c>
      <c r="D768" t="s">
        <v>4433</v>
      </c>
      <c r="E768" t="s">
        <v>3221</v>
      </c>
      <c r="F768">
        <v>29.09</v>
      </c>
    </row>
    <row r="769" spans="1:6" x14ac:dyDescent="0.2">
      <c r="A769">
        <v>768</v>
      </c>
      <c r="B769" t="s">
        <v>4444</v>
      </c>
      <c r="D769" t="s">
        <v>4434</v>
      </c>
      <c r="E769" t="s">
        <v>3221</v>
      </c>
      <c r="F769">
        <v>29.09</v>
      </c>
    </row>
    <row r="770" spans="1:6" x14ac:dyDescent="0.2">
      <c r="A770">
        <v>769</v>
      </c>
      <c r="B770" t="s">
        <v>4444</v>
      </c>
      <c r="D770" t="s">
        <v>4435</v>
      </c>
      <c r="E770" t="s">
        <v>3221</v>
      </c>
      <c r="F770">
        <v>29.09</v>
      </c>
    </row>
    <row r="771" spans="1:6" x14ac:dyDescent="0.2">
      <c r="A771">
        <v>770</v>
      </c>
      <c r="B771" t="s">
        <v>4444</v>
      </c>
      <c r="D771" t="s">
        <v>4436</v>
      </c>
      <c r="E771" t="s">
        <v>3221</v>
      </c>
      <c r="F771">
        <v>29.09</v>
      </c>
    </row>
    <row r="772" spans="1:6" x14ac:dyDescent="0.2">
      <c r="A772">
        <v>771</v>
      </c>
      <c r="B772" t="s">
        <v>4444</v>
      </c>
      <c r="D772" t="s">
        <v>4437</v>
      </c>
      <c r="E772" t="s">
        <v>3221</v>
      </c>
      <c r="F772">
        <v>29.09</v>
      </c>
    </row>
    <row r="773" spans="1:6" x14ac:dyDescent="0.2">
      <c r="A773">
        <v>772</v>
      </c>
      <c r="B773" t="s">
        <v>4444</v>
      </c>
      <c r="D773" t="s">
        <v>4438</v>
      </c>
      <c r="E773" t="s">
        <v>3221</v>
      </c>
      <c r="F773">
        <v>29.09</v>
      </c>
    </row>
    <row r="774" spans="1:6" x14ac:dyDescent="0.2">
      <c r="A774">
        <v>773</v>
      </c>
      <c r="B774" t="s">
        <v>4444</v>
      </c>
      <c r="D774" t="s">
        <v>4439</v>
      </c>
      <c r="E774" t="s">
        <v>3221</v>
      </c>
      <c r="F774">
        <v>29.09</v>
      </c>
    </row>
    <row r="775" spans="1:6" x14ac:dyDescent="0.2">
      <c r="A775">
        <v>774</v>
      </c>
      <c r="B775" t="s">
        <v>4444</v>
      </c>
      <c r="D775" t="s">
        <v>4440</v>
      </c>
      <c r="E775" t="s">
        <v>3221</v>
      </c>
      <c r="F775">
        <v>29.09</v>
      </c>
    </row>
    <row r="776" spans="1:6" x14ac:dyDescent="0.2">
      <c r="A776">
        <v>775</v>
      </c>
      <c r="B776" t="s">
        <v>4444</v>
      </c>
      <c r="D776" t="s">
        <v>4441</v>
      </c>
      <c r="E776" t="s">
        <v>3221</v>
      </c>
      <c r="F776">
        <v>29.09</v>
      </c>
    </row>
    <row r="777" spans="1:6" x14ac:dyDescent="0.2">
      <c r="A777">
        <v>776</v>
      </c>
      <c r="B777" t="s">
        <v>4444</v>
      </c>
      <c r="D777" t="s">
        <v>4442</v>
      </c>
      <c r="E777" t="s">
        <v>3221</v>
      </c>
      <c r="F777">
        <v>29.09</v>
      </c>
    </row>
    <row r="778" spans="1:6" x14ac:dyDescent="0.2">
      <c r="A778">
        <v>777</v>
      </c>
      <c r="B778" t="s">
        <v>4444</v>
      </c>
      <c r="D778" t="s">
        <v>4443</v>
      </c>
      <c r="E778" t="s">
        <v>3221</v>
      </c>
      <c r="F778">
        <v>29.09</v>
      </c>
    </row>
    <row r="779" spans="1:6" x14ac:dyDescent="0.2">
      <c r="A779" s="3230" t="s">
        <v>4446</v>
      </c>
      <c r="F779">
        <f>SUM(F2:F778)</f>
        <v>22562.870000000104</v>
      </c>
    </row>
  </sheetData>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AD56"/>
  <sheetViews>
    <sheetView view="pageBreakPreview" zoomScale="90" zoomScaleSheetLayoutView="90" workbookViewId="0">
      <selection activeCell="G34" sqref="G34"/>
    </sheetView>
  </sheetViews>
  <sheetFormatPr baseColWidth="10" defaultColWidth="10" defaultRowHeight="13" x14ac:dyDescent="0.2"/>
  <cols>
    <col min="1" max="1" width="16.83203125" style="1881" customWidth="1"/>
    <col min="2" max="2" width="10" style="1881" customWidth="1"/>
    <col min="3" max="3" width="11.5" style="1881" customWidth="1"/>
    <col min="4" max="4" width="10" style="1881" customWidth="1"/>
    <col min="5" max="5" width="12.6640625" style="1881" customWidth="1"/>
    <col min="6" max="6" width="10" style="1881" customWidth="1"/>
    <col min="7" max="7" width="10.6640625" style="1881" customWidth="1"/>
    <col min="8" max="8" width="10" style="1881" customWidth="1"/>
    <col min="9" max="9" width="11.16406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5" thickBot="1" x14ac:dyDescent="0.25">
      <c r="A1" s="2539" t="s">
        <v>2669</v>
      </c>
      <c r="B1" s="3496" t="str">
        <f>IF(B10="北京市","北京市",C10)&amp;F10&amp;IF('结果表-商业'!G1="在建","出让国有建设用地使用权及在建建筑物",IF('结果表-商业'!G1="土地","出让国有建设用地使用权",))&amp;B9&amp;"预评估"</f>
        <v>北京市房地产市场价值预评估</v>
      </c>
      <c r="C1" s="3497"/>
      <c r="D1" s="3497"/>
      <c r="E1" s="3497"/>
      <c r="F1" s="3497"/>
      <c r="G1" s="3497"/>
      <c r="H1" s="3497"/>
      <c r="I1" s="3498"/>
      <c r="J1" s="2646"/>
      <c r="K1" s="2541"/>
      <c r="L1" s="2542"/>
      <c r="M1" s="2542"/>
      <c r="N1" s="2543"/>
      <c r="O1" s="1711"/>
      <c r="P1" s="2543"/>
      <c r="Q1" s="2543"/>
      <c r="R1" s="2543"/>
      <c r="S1" s="1818" t="str">
        <f>IF(B10="北京市","北京市",C10)&amp;F10&amp;IF('结果表-商业'!G1="在建","出让国有建设用地使用权及在建建筑物房地产抵押价值",IF('结果表-商业'!G1="土地","出让国有建设用地使用权抵押价值",B9))</f>
        <v>北京市房地产市场价值</v>
      </c>
      <c r="T1" s="1881"/>
      <c r="U1" s="1881"/>
      <c r="V1" s="1881"/>
      <c r="W1" s="1881"/>
      <c r="X1" s="1881"/>
      <c r="Y1" s="1881"/>
      <c r="Z1" s="1881"/>
      <c r="AA1" s="1881"/>
      <c r="AB1" s="1881"/>
    </row>
    <row r="2" spans="1:28" ht="14" x14ac:dyDescent="0.2">
      <c r="A2" s="2540" t="s">
        <v>2670</v>
      </c>
      <c r="B2" s="2544"/>
      <c r="C2" s="2545"/>
      <c r="D2" s="2848"/>
      <c r="E2" s="2838"/>
      <c r="F2" s="2838"/>
      <c r="G2" s="2839"/>
      <c r="H2" s="2839"/>
      <c r="I2" s="2839"/>
      <c r="J2" s="2646"/>
      <c r="K2" s="2541"/>
      <c r="L2" s="2542"/>
      <c r="M2" s="2542"/>
      <c r="N2" s="2543"/>
      <c r="O2" s="1711"/>
      <c r="P2" s="2543"/>
      <c r="Q2" s="2543"/>
      <c r="R2" s="2543"/>
      <c r="S2" s="1818" t="str">
        <f>IF(B10="北京市","北京市",C10)&amp;F10&amp;IF('结果表-商业'!G1="在建","出让国有建设用地使用权及在建建筑物房地产",IF('结果表-商业'!G1="土地","出让国有建设用地使用权","房地产"))</f>
        <v>北京市房地产</v>
      </c>
      <c r="T2" s="1881"/>
      <c r="U2" s="1881"/>
      <c r="V2" s="1881"/>
      <c r="W2" s="1881"/>
      <c r="X2" s="1881"/>
      <c r="Y2" s="1881"/>
      <c r="Z2" s="1881"/>
      <c r="AA2" s="1881"/>
      <c r="AB2" s="1881"/>
    </row>
    <row r="3" spans="1:28" ht="14" x14ac:dyDescent="0.2">
      <c r="A3" s="308" t="s">
        <v>2671</v>
      </c>
      <c r="B3" s="2546">
        <v>44868</v>
      </c>
      <c r="C3" s="2547" t="s">
        <v>2672</v>
      </c>
      <c r="D3" s="2546">
        <f>B3</f>
        <v>44868</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5" thickBot="1" x14ac:dyDescent="0.25">
      <c r="A4" s="1202" t="s">
        <v>2673</v>
      </c>
      <c r="B4" s="2548" t="s">
        <v>3236</v>
      </c>
      <c r="C4" s="2549">
        <f ca="1">SUMIF(注册房地产估价师,B4,估价师及机构信息!B3:B24)</f>
        <v>0</v>
      </c>
      <c r="D4" s="2548" t="s">
        <v>3235</v>
      </c>
      <c r="E4" s="2550">
        <f ca="1">SUMIF(注册房地产估价师,D4,估价师及机构信息!B3:B24)</f>
        <v>1120060040</v>
      </c>
      <c r="F4" s="2548"/>
      <c r="G4" s="2550">
        <f>SUMIF(注册房地产估价师,F4,估价师及机构信息!B3:B24)</f>
        <v>0</v>
      </c>
      <c r="H4" s="2548"/>
      <c r="I4" s="2550">
        <f>SUMIF(注册房地产估价师,H4,估价师及机构信息!B3:B24)</f>
        <v>0</v>
      </c>
      <c r="J4" s="2614"/>
      <c r="K4" s="2551" t="str">
        <f ca="1">CONCATENATE(B4,"（注册号：",C4,")、",D4,"（注册号：",E4,")")</f>
        <v>梁津（注册号：0)、陈颖（注册号：1120060040)</v>
      </c>
      <c r="L4" s="2542"/>
      <c r="M4" s="2542"/>
      <c r="N4" s="2543"/>
      <c r="O4" s="1711"/>
      <c r="P4" s="2543"/>
      <c r="Q4" s="2543"/>
      <c r="R4" s="2543"/>
      <c r="S4" s="1818"/>
      <c r="T4" s="1881"/>
      <c r="U4" s="1881"/>
      <c r="V4" s="1881"/>
      <c r="W4" s="1881"/>
      <c r="X4" s="1881"/>
      <c r="Y4" s="1881"/>
      <c r="Z4" s="1881"/>
      <c r="AA4" s="1881"/>
      <c r="AB4" s="1881"/>
    </row>
    <row r="5" spans="1:28" ht="15" thickTop="1" x14ac:dyDescent="0.2">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ht="14" x14ac:dyDescent="0.2">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ht="14" x14ac:dyDescent="0.2">
      <c r="A7" s="2556" t="s">
        <v>2676</v>
      </c>
      <c r="B7" s="2560"/>
      <c r="C7" s="2558"/>
      <c r="D7" s="2559"/>
      <c r="E7" s="2838"/>
      <c r="F7" s="2840"/>
      <c r="G7" s="2840"/>
      <c r="H7" s="2840"/>
      <c r="I7" s="2840"/>
      <c r="J7" s="2614"/>
      <c r="K7" s="2791"/>
      <c r="L7" s="2788"/>
      <c r="M7" s="2788"/>
      <c r="N7" s="2614"/>
      <c r="O7" s="2625"/>
      <c r="P7" s="2614"/>
      <c r="Q7" s="2614"/>
      <c r="R7" s="2614"/>
    </row>
    <row r="8" spans="1:28" ht="14" x14ac:dyDescent="0.2">
      <c r="A8" s="2561" t="s">
        <v>2677</v>
      </c>
      <c r="B8" s="2562" t="s">
        <v>3237</v>
      </c>
      <c r="C8" s="2563"/>
      <c r="D8" s="3499" t="s">
        <v>2678</v>
      </c>
      <c r="E8" s="2564"/>
      <c r="F8" s="2565"/>
      <c r="G8" s="2839"/>
      <c r="H8" s="2839"/>
      <c r="I8" s="2839"/>
      <c r="J8" s="2614"/>
      <c r="K8" s="2789"/>
      <c r="L8" s="2788"/>
      <c r="M8" s="2788"/>
      <c r="N8" s="2614"/>
      <c r="O8" s="2625"/>
      <c r="P8" s="2614"/>
      <c r="Q8" s="2614"/>
      <c r="R8" s="2614"/>
    </row>
    <row r="9" spans="1:28" ht="15" thickBot="1" x14ac:dyDescent="0.25">
      <c r="A9" s="2566" t="s">
        <v>2679</v>
      </c>
      <c r="B9" s="2567" t="s">
        <v>3238</v>
      </c>
      <c r="C9" s="2568"/>
      <c r="D9" s="3500"/>
      <c r="E9" s="2567"/>
      <c r="F9" s="2569"/>
      <c r="G9" s="2841"/>
      <c r="H9" s="2841"/>
      <c r="I9" s="2841"/>
      <c r="J9" s="2614"/>
      <c r="K9" s="2791"/>
      <c r="L9" s="2788"/>
      <c r="M9" s="2788"/>
      <c r="N9" s="2614"/>
      <c r="O9" s="2625"/>
      <c r="P9" s="2614"/>
      <c r="Q9" s="2614"/>
      <c r="R9" s="2614"/>
    </row>
    <row r="10" spans="1:28" ht="15" thickTop="1" x14ac:dyDescent="0.2">
      <c r="A10" s="2570" t="s">
        <v>2680</v>
      </c>
      <c r="B10" s="2571" t="s">
        <v>3239</v>
      </c>
      <c r="C10" s="2572"/>
      <c r="D10" s="2555"/>
      <c r="E10" s="2573" t="s">
        <v>2681</v>
      </c>
      <c r="F10" s="2842"/>
      <c r="G10" s="2843"/>
      <c r="H10" s="2844"/>
      <c r="I10" s="2845"/>
      <c r="J10" s="2614"/>
      <c r="K10" s="2791"/>
      <c r="L10" s="2788"/>
      <c r="M10" s="2788"/>
      <c r="N10" s="2614"/>
      <c r="O10" s="2625"/>
      <c r="P10" s="2614"/>
      <c r="Q10" s="2614"/>
      <c r="R10" s="2614"/>
    </row>
    <row r="11" spans="1:28" ht="14" x14ac:dyDescent="0.2">
      <c r="A11" s="2574" t="s">
        <v>2682</v>
      </c>
      <c r="B11" s="2575" t="s">
        <v>3240</v>
      </c>
      <c r="C11" s="2576"/>
      <c r="D11" s="2577"/>
      <c r="E11" s="2543"/>
      <c r="F11" s="2543"/>
      <c r="G11" s="2543"/>
      <c r="H11" s="2543"/>
      <c r="I11" s="2543"/>
      <c r="J11" s="2614"/>
      <c r="K11" s="2791"/>
      <c r="L11" s="2788"/>
      <c r="M11" s="2788"/>
      <c r="N11" s="2614"/>
      <c r="O11" s="2625"/>
      <c r="P11" s="2614"/>
      <c r="Q11" s="2614"/>
      <c r="R11" s="2614"/>
    </row>
    <row r="12" spans="1:28" ht="14" x14ac:dyDescent="0.2">
      <c r="A12" s="2578" t="s">
        <v>2683</v>
      </c>
      <c r="B12" s="2575" t="s">
        <v>3241</v>
      </c>
      <c r="C12" s="329"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ht="14" x14ac:dyDescent="0.2">
      <c r="A13" s="1193"/>
      <c r="B13" s="2580"/>
      <c r="C13" s="2581" t="s">
        <v>2691</v>
      </c>
      <c r="D13" s="945">
        <v>63795</v>
      </c>
      <c r="E13" s="945">
        <v>52838</v>
      </c>
      <c r="F13" s="945"/>
      <c r="G13" s="945">
        <v>56489</v>
      </c>
      <c r="H13" s="945"/>
      <c r="I13" s="945"/>
      <c r="J13" s="2614"/>
      <c r="K13" s="2791"/>
      <c r="L13" s="2788"/>
      <c r="M13" s="2788"/>
      <c r="N13" s="2614"/>
      <c r="O13" s="2625"/>
      <c r="P13" s="2614"/>
      <c r="Q13" s="2614"/>
      <c r="R13" s="2614"/>
    </row>
    <row r="14" spans="1:28" ht="14" x14ac:dyDescent="0.2">
      <c r="A14" s="1193"/>
      <c r="B14" s="2580"/>
      <c r="C14" s="2581" t="s">
        <v>2692</v>
      </c>
      <c r="D14" s="2582">
        <v>70</v>
      </c>
      <c r="E14" s="2582">
        <v>40</v>
      </c>
      <c r="F14" s="2582">
        <v>50</v>
      </c>
      <c r="G14" s="2582">
        <v>50</v>
      </c>
      <c r="H14" s="2582">
        <v>50</v>
      </c>
      <c r="I14" s="2582"/>
      <c r="J14" s="2614"/>
      <c r="K14" s="2792"/>
      <c r="L14" s="2788"/>
      <c r="M14" s="2788"/>
      <c r="N14" s="2614"/>
      <c r="O14" s="2625"/>
      <c r="P14" s="2614"/>
      <c r="Q14" s="2614"/>
      <c r="R14" s="2614"/>
    </row>
    <row r="15" spans="1:28" ht="14" x14ac:dyDescent="0.2">
      <c r="A15" s="326"/>
      <c r="B15" s="2583"/>
      <c r="C15" s="2584" t="s">
        <v>2693</v>
      </c>
      <c r="D15" s="2585">
        <f>IF(B12="出让",IF(D13="","",ROUNDDOWN(MIN((D13-$D$3)/365,D14),2)),D14)</f>
        <v>51.85</v>
      </c>
      <c r="E15" s="2585">
        <f>IF(B12="出让",IF(E13="","",ROUNDDOWN(MIN((E13-$D$3)/365,E14),2)),E14)</f>
        <v>21.83</v>
      </c>
      <c r="F15" s="2585" t="str">
        <f>IF(B12="出让",IF(F13="","",ROUNDDOWN(MIN((F13-$D$3)/365,F14),2)),F14)</f>
        <v/>
      </c>
      <c r="G15" s="2585">
        <f>IF(B12="出让",IF(G13="","",ROUNDDOWN(MIN((G13-$D$3)/365,G14),2)),G14)</f>
        <v>31.83</v>
      </c>
      <c r="H15" s="2585" t="str">
        <f>IF(B12="出让",IF(H13="","",ROUNDDOWN(MIN((H13-$D$3)/365,H14),2)),H14)</f>
        <v/>
      </c>
      <c r="I15" s="2585" t="str">
        <f>IF(B12="出让",IF(I13="","",ROUNDDOWN(MIN((I13-$D$3)/365,I14),2)),I14)</f>
        <v/>
      </c>
      <c r="J15" s="2614"/>
      <c r="K15" s="2793"/>
      <c r="L15" s="2626"/>
      <c r="M15" s="2626"/>
      <c r="N15" s="2684"/>
      <c r="O15" s="2626"/>
      <c r="P15" s="2684"/>
      <c r="Q15" s="2614"/>
      <c r="R15" s="2614"/>
    </row>
    <row r="16" spans="1:28" ht="14" x14ac:dyDescent="0.2">
      <c r="A16" s="2573" t="s">
        <v>2694</v>
      </c>
      <c r="B16" s="3506"/>
      <c r="C16" s="3507"/>
      <c r="D16" s="3508"/>
      <c r="E16" s="2588" t="s">
        <v>2695</v>
      </c>
      <c r="F16" s="3509"/>
      <c r="G16" s="3510"/>
      <c r="H16" s="3510"/>
      <c r="I16" s="3511"/>
      <c r="J16" s="2614"/>
      <c r="K16" s="2793"/>
      <c r="L16" s="2626"/>
      <c r="M16" s="2626"/>
      <c r="N16" s="2684"/>
      <c r="O16" s="2626"/>
      <c r="P16" s="2684"/>
      <c r="Q16" s="2614"/>
      <c r="R16" s="2614"/>
    </row>
    <row r="17" spans="1:28" ht="14" x14ac:dyDescent="0.2">
      <c r="A17" s="319" t="s">
        <v>2696</v>
      </c>
      <c r="B17" s="308" t="s">
        <v>2697</v>
      </c>
      <c r="C17" s="11">
        <f>'数据-汇总表'!E3</f>
        <v>58.81</v>
      </c>
      <c r="D17" s="2495" t="s">
        <v>2698</v>
      </c>
      <c r="E17" s="3512" t="s">
        <v>2699</v>
      </c>
      <c r="F17" s="3513"/>
      <c r="G17" s="3513"/>
      <c r="H17" s="3513"/>
      <c r="I17" s="3514"/>
      <c r="J17" s="2614"/>
      <c r="K17" s="2794"/>
      <c r="L17" s="2626"/>
      <c r="M17" s="2626"/>
      <c r="N17" s="2684"/>
      <c r="O17" s="2626"/>
      <c r="P17" s="2684"/>
      <c r="Q17" s="2614"/>
      <c r="R17" s="2614"/>
      <c r="S17" s="2614"/>
      <c r="T17" s="2614"/>
      <c r="U17" s="2614"/>
      <c r="V17" s="2614"/>
    </row>
    <row r="18" spans="1:28" ht="29" thickBot="1" x14ac:dyDescent="0.25">
      <c r="A18" s="2589" t="s">
        <v>2700</v>
      </c>
      <c r="B18" s="1202" t="s">
        <v>2701</v>
      </c>
      <c r="C18" s="2590">
        <f>'数据-汇总表'!D3</f>
        <v>0</v>
      </c>
      <c r="D18" s="1204" t="s">
        <v>2702</v>
      </c>
      <c r="E18" s="3515" t="s">
        <v>2703</v>
      </c>
      <c r="F18" s="3516"/>
      <c r="G18" s="3516"/>
      <c r="H18" s="3516"/>
      <c r="I18" s="3517"/>
      <c r="J18" s="2614"/>
      <c r="K18" s="2794"/>
      <c r="L18" s="2626"/>
      <c r="M18" s="2626"/>
      <c r="N18" s="2684"/>
      <c r="O18" s="2626"/>
      <c r="P18" s="2684"/>
      <c r="Q18" s="2614"/>
      <c r="R18" s="2614"/>
      <c r="S18" s="2614"/>
      <c r="T18" s="2614"/>
      <c r="U18" s="2614"/>
      <c r="V18" s="2614"/>
    </row>
    <row r="19" spans="1:28" ht="44" thickTop="1" thickBot="1" x14ac:dyDescent="0.25">
      <c r="A19" s="333" t="s">
        <v>1500</v>
      </c>
      <c r="B19" s="313" t="s">
        <v>2704</v>
      </c>
      <c r="C19" s="1698" t="s">
        <v>3242</v>
      </c>
      <c r="D19" s="1699" t="s">
        <v>2705</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ht="14" x14ac:dyDescent="0.2">
      <c r="A20" s="2808" t="s">
        <v>2706</v>
      </c>
      <c r="B20" s="3502" t="s">
        <v>2707</v>
      </c>
      <c r="C20" s="3503"/>
      <c r="D20" s="3504" t="s">
        <v>2708</v>
      </c>
      <c r="E20" s="3505"/>
      <c r="F20" s="2823" t="s">
        <v>1501</v>
      </c>
      <c r="G20" s="2840"/>
      <c r="H20" s="2840"/>
      <c r="I20" s="2840"/>
      <c r="J20" s="2614"/>
      <c r="K20" s="3501" t="s">
        <v>2709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2"/>
      <c r="N20" s="2587"/>
      <c r="O20" s="2586"/>
      <c r="P20" s="2587"/>
      <c r="Q20" s="2543"/>
      <c r="R20" s="2543"/>
      <c r="S20" s="2543"/>
      <c r="T20" s="2543"/>
      <c r="U20" s="2543"/>
      <c r="V20" s="2543"/>
      <c r="W20" s="1881"/>
      <c r="X20" s="1881"/>
      <c r="Y20" s="1881"/>
      <c r="Z20" s="1881"/>
      <c r="AA20" s="1881"/>
      <c r="AB20" s="1881"/>
    </row>
    <row r="21" spans="1:28" ht="29" thickBot="1" x14ac:dyDescent="0.25">
      <c r="A21" s="2808"/>
      <c r="B21" s="2809" t="s">
        <v>2710</v>
      </c>
      <c r="C21" s="2810" t="s">
        <v>1502</v>
      </c>
      <c r="D21" s="1703" t="s">
        <v>2711</v>
      </c>
      <c r="E21" s="2811" t="s">
        <v>1502</v>
      </c>
      <c r="F21" s="2824"/>
      <c r="G21" s="2840"/>
      <c r="H21" s="2840"/>
      <c r="I21" s="2840"/>
      <c r="J21" s="2614"/>
      <c r="K21" s="350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9" thickBot="1" x14ac:dyDescent="0.25">
      <c r="A22" s="2808"/>
      <c r="B22" s="2812" t="s">
        <v>2712</v>
      </c>
      <c r="C22" s="2810" t="s">
        <v>1503</v>
      </c>
      <c r="D22" s="2839"/>
      <c r="E22" s="2839"/>
      <c r="F22" s="2839"/>
      <c r="G22" s="2840"/>
      <c r="H22" s="2840"/>
      <c r="I22" s="2840"/>
      <c r="J22" s="2614"/>
      <c r="K22" s="3501"/>
      <c r="L22" s="692"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ht="14" x14ac:dyDescent="0.2">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ht="14" x14ac:dyDescent="0.2">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ht="14" x14ac:dyDescent="0.2">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5" thickBot="1" x14ac:dyDescent="0.25">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5" thickTop="1" x14ac:dyDescent="0.2">
      <c r="A27" s="3489" t="s">
        <v>2715</v>
      </c>
      <c r="B27" s="326" t="s">
        <v>2716</v>
      </c>
      <c r="C27" s="2591" t="s">
        <v>3243</v>
      </c>
      <c r="D27" s="2592"/>
      <c r="E27" s="2840"/>
      <c r="F27" s="2840"/>
      <c r="G27" s="2840"/>
      <c r="H27" s="2840"/>
      <c r="I27" s="2840"/>
      <c r="J27" s="2614"/>
      <c r="K27" s="2793"/>
      <c r="L27" s="2626"/>
      <c r="M27" s="2626"/>
      <c r="N27" s="2684"/>
      <c r="O27" s="2626"/>
      <c r="P27" s="2684"/>
      <c r="Q27" s="2614"/>
      <c r="R27" s="2614"/>
      <c r="S27" s="2614"/>
      <c r="T27" s="2614"/>
      <c r="U27" s="2614"/>
      <c r="V27" s="2614"/>
    </row>
    <row r="28" spans="1:28" ht="14" x14ac:dyDescent="0.2">
      <c r="A28" s="3489"/>
      <c r="B28" s="308"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ht="14" x14ac:dyDescent="0.2">
      <c r="A29" s="3489"/>
      <c r="B29" s="308"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ht="14" x14ac:dyDescent="0.2">
      <c r="A30" s="3490"/>
      <c r="B30" s="308" t="s">
        <v>2719</v>
      </c>
      <c r="C30" s="3491"/>
      <c r="D30" s="3492"/>
      <c r="E30" s="2840"/>
      <c r="F30" s="2840"/>
      <c r="G30" s="2840"/>
      <c r="H30" s="2840"/>
      <c r="I30" s="2840"/>
      <c r="J30" s="2614"/>
      <c r="K30" s="2791"/>
      <c r="L30" s="2788"/>
      <c r="M30" s="2788"/>
      <c r="N30" s="2614"/>
      <c r="O30" s="2625"/>
      <c r="P30" s="2614"/>
      <c r="Q30" s="2614"/>
      <c r="R30" s="2614"/>
      <c r="S30" s="2614"/>
      <c r="T30" s="2614"/>
      <c r="U30" s="2614"/>
      <c r="V30" s="2614"/>
    </row>
    <row r="31" spans="1:28" x14ac:dyDescent="0.2">
      <c r="A31" s="3493" t="s">
        <v>2720</v>
      </c>
      <c r="B31" s="2597" t="s">
        <v>3244</v>
      </c>
      <c r="C31" s="2496" t="str">
        <f>IF(B31="现房","成新及维护状况正常否",IF(B31="在建","工程状态是否正常",IF(B31="土地","是否闲置","-")))</f>
        <v>成新及维护状况正常否</v>
      </c>
      <c r="D31" s="1507"/>
      <c r="E31" s="2598"/>
      <c r="F31" s="2840"/>
      <c r="G31" s="2840"/>
      <c r="H31" s="2840"/>
      <c r="I31" s="2840"/>
      <c r="J31" s="2614"/>
      <c r="K31" s="2790"/>
      <c r="L31" s="2788"/>
      <c r="M31" s="2788"/>
      <c r="N31" s="2614"/>
      <c r="O31" s="2625"/>
      <c r="P31" s="2614"/>
      <c r="Q31" s="2614"/>
      <c r="R31" s="2614"/>
      <c r="S31" s="2614"/>
      <c r="T31" s="2614"/>
      <c r="U31" s="2614"/>
      <c r="V31" s="2614"/>
    </row>
    <row r="32" spans="1:28" x14ac:dyDescent="0.2">
      <c r="A32" s="3494"/>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x14ac:dyDescent="0.2">
      <c r="A33" s="3494"/>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ht="14" x14ac:dyDescent="0.2">
      <c r="A34" s="308" t="s">
        <v>2721</v>
      </c>
      <c r="B34" s="2164"/>
      <c r="C34" s="2164"/>
      <c r="D34" s="2164"/>
      <c r="E34" s="2164"/>
      <c r="F34" s="2164"/>
      <c r="G34" s="2164"/>
      <c r="H34" s="2164"/>
      <c r="I34" s="2840"/>
      <c r="J34" s="2614"/>
      <c r="K34" s="2602">
        <f>COUNTIF(B34:H34,"——")</f>
        <v>0</v>
      </c>
      <c r="L34" s="329" t="s">
        <v>2722</v>
      </c>
      <c r="M34" s="329" t="s">
        <v>2723</v>
      </c>
      <c r="N34" s="329" t="s">
        <v>2724</v>
      </c>
      <c r="O34" s="329" t="s">
        <v>2725</v>
      </c>
      <c r="P34" s="329" t="s">
        <v>2726</v>
      </c>
      <c r="Q34" s="329" t="s">
        <v>2727</v>
      </c>
      <c r="R34" s="329" t="s">
        <v>2728</v>
      </c>
      <c r="S34" s="3488" t="s">
        <v>2729</v>
      </c>
      <c r="T34" s="2603" t="str">
        <f>NUMBERSTRING(7-K34,1)&amp;"通"</f>
        <v>七通</v>
      </c>
      <c r="U34" s="2614"/>
      <c r="V34" s="2614"/>
    </row>
    <row r="35" spans="1:30" x14ac:dyDescent="0.2">
      <c r="A35" s="2604"/>
      <c r="B35" s="3495" t="s">
        <v>2730</v>
      </c>
      <c r="C35" s="3495"/>
      <c r="D35" s="3495"/>
      <c r="E35" s="3495"/>
      <c r="F35" s="672">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488"/>
      <c r="T35" s="335" t="str">
        <f>IF(T34="一通",L35,IF(T34="二通",M35,IF(T34="三通",N35,IF(T34="四通",O35,IF(T34="五通",P35,IF(T34="六通",Q35,R35))))))</f>
        <v>、、、、、、</v>
      </c>
      <c r="U35" s="2614"/>
      <c r="V35" s="2614"/>
    </row>
    <row r="36" spans="1:30" ht="14" x14ac:dyDescent="0.2">
      <c r="A36" s="2605"/>
      <c r="B36" s="672" t="s">
        <v>2686</v>
      </c>
      <c r="C36" s="672" t="s">
        <v>2687</v>
      </c>
      <c r="D36" s="672" t="s">
        <v>2685</v>
      </c>
      <c r="E36" s="672" t="s">
        <v>2690</v>
      </c>
      <c r="F36" s="2846"/>
      <c r="G36" s="2840"/>
      <c r="H36" s="2840"/>
      <c r="I36" s="2840"/>
      <c r="J36" s="2614"/>
      <c r="K36" s="2791"/>
      <c r="L36" s="2788"/>
      <c r="M36" s="2788"/>
      <c r="N36" s="2614"/>
      <c r="O36" s="2625"/>
      <c r="P36" s="2614"/>
      <c r="Q36" s="2614"/>
      <c r="R36" s="2614"/>
      <c r="S36" s="2614"/>
      <c r="T36" s="2614"/>
      <c r="U36" s="2614"/>
      <c r="V36" s="2614"/>
    </row>
    <row r="37" spans="1:30" ht="14" x14ac:dyDescent="0.2">
      <c r="A37" s="2806" t="s">
        <v>2731</v>
      </c>
      <c r="B37" s="2606" t="s">
        <v>268</v>
      </c>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5" thickBot="1" x14ac:dyDescent="0.25">
      <c r="A38" s="2807" t="s">
        <v>2732</v>
      </c>
      <c r="B38" s="2607" t="s">
        <v>290</v>
      </c>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6" thickTop="1" thickBot="1" x14ac:dyDescent="0.25">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x14ac:dyDescent="0.2">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ht="14" x14ac:dyDescent="0.2">
      <c r="A41" s="2611" t="s">
        <v>2734</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8" x14ac:dyDescent="0.2">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79" customFormat="1" x14ac:dyDescent="0.2">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x14ac:dyDescent="0.2">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x14ac:dyDescent="0.2">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x14ac:dyDescent="0.2">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x14ac:dyDescent="0.2">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x14ac:dyDescent="0.2">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x14ac:dyDescent="0.2">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x14ac:dyDescent="0.2">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x14ac:dyDescent="0.2">
      <c r="A51" s="1705"/>
      <c r="B51" s="1705"/>
      <c r="C51" s="1162"/>
      <c r="D51" s="1162"/>
      <c r="E51" s="1162"/>
      <c r="F51" s="1162"/>
      <c r="G51" s="1162"/>
      <c r="H51" s="1162"/>
      <c r="I51" s="1162"/>
      <c r="J51" s="2612"/>
      <c r="K51" s="2613"/>
      <c r="L51" s="2613"/>
      <c r="M51" s="1162"/>
      <c r="N51" s="1162"/>
      <c r="O51" s="1162"/>
      <c r="P51" s="1162"/>
      <c r="Q51" s="1162"/>
      <c r="R51" s="1162"/>
    </row>
    <row r="52" spans="1:22" s="1879" customFormat="1" x14ac:dyDescent="0.2">
      <c r="A52" s="1705"/>
      <c r="B52" s="1705"/>
      <c r="C52" s="1705"/>
      <c r="D52" s="1705"/>
      <c r="E52" s="1705"/>
      <c r="F52" s="1162"/>
      <c r="G52" s="1705"/>
      <c r="H52" s="1705"/>
      <c r="I52" s="1705"/>
      <c r="J52" s="2615"/>
      <c r="K52" s="2613"/>
      <c r="L52" s="2613"/>
      <c r="M52" s="2613"/>
      <c r="N52" s="1705"/>
      <c r="O52" s="1705"/>
      <c r="P52" s="1705"/>
      <c r="Q52" s="1705"/>
      <c r="R52" s="1705"/>
    </row>
    <row r="53" spans="1:22" s="1879" customFormat="1" x14ac:dyDescent="0.2">
      <c r="A53" s="1705"/>
      <c r="B53" s="1705"/>
      <c r="C53" s="1705"/>
      <c r="D53" s="1705"/>
      <c r="E53" s="1705"/>
      <c r="F53" s="1162"/>
      <c r="G53" s="1705"/>
      <c r="H53" s="1705"/>
      <c r="I53" s="1705"/>
      <c r="J53" s="2615"/>
      <c r="K53" s="2613"/>
      <c r="L53" s="2613"/>
      <c r="M53" s="2613"/>
      <c r="N53" s="1705"/>
      <c r="O53" s="1705"/>
      <c r="P53" s="1705"/>
      <c r="Q53" s="1705"/>
      <c r="R53" s="1705"/>
    </row>
    <row r="54" spans="1:22" s="1879" customFormat="1" x14ac:dyDescent="0.2">
      <c r="A54" s="1705"/>
      <c r="B54" s="1705"/>
      <c r="C54" s="1705"/>
      <c r="D54" s="1705"/>
      <c r="E54" s="1705"/>
      <c r="F54" s="1162"/>
      <c r="G54" s="1705"/>
      <c r="H54" s="1705"/>
      <c r="I54" s="1705"/>
      <c r="J54" s="2615"/>
      <c r="K54" s="2613"/>
      <c r="L54" s="2613"/>
      <c r="M54" s="2613"/>
      <c r="N54" s="1705"/>
      <c r="O54" s="1705"/>
      <c r="P54" s="1705"/>
      <c r="Q54" s="1705"/>
      <c r="R54" s="1705"/>
    </row>
    <row r="55" spans="1:22" s="1879" customFormat="1" x14ac:dyDescent="0.2">
      <c r="A55" s="1705"/>
      <c r="B55" s="1705"/>
      <c r="C55" s="1705"/>
      <c r="D55" s="1705"/>
      <c r="E55" s="1705"/>
      <c r="F55" s="1162"/>
      <c r="G55" s="1705"/>
      <c r="H55" s="1705"/>
      <c r="I55" s="1705"/>
      <c r="J55" s="2615"/>
      <c r="K55" s="2613"/>
      <c r="L55" s="2613"/>
      <c r="M55" s="2613"/>
      <c r="N55" s="1705"/>
      <c r="O55" s="1705"/>
      <c r="P55" s="1705"/>
      <c r="Q55" s="1705"/>
      <c r="R55" s="1705"/>
    </row>
    <row r="56" spans="1:22" s="1879" customFormat="1" x14ac:dyDescent="0.2">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baseColWidth="10" defaultColWidth="8.83203125" defaultRowHeight="14" x14ac:dyDescent="0.2"/>
  <cols>
    <col min="1" max="1" width="10.6640625" style="1708" customWidth="1"/>
    <col min="2" max="2" width="11" style="1708" customWidth="1"/>
    <col min="3" max="3" width="10.33203125" style="1708" customWidth="1"/>
    <col min="4" max="4" width="9.1640625" style="1708" customWidth="1"/>
    <col min="5" max="6" width="10" style="1769" customWidth="1"/>
    <col min="7" max="8" width="10" style="1708" customWidth="1"/>
    <col min="9" max="9" width="10.6640625" style="1708" customWidth="1"/>
    <col min="10" max="10" width="9.5" style="1708" customWidth="1"/>
    <col min="11" max="11" width="11" style="1708" customWidth="1"/>
    <col min="12" max="14" width="9.5" style="1708" customWidth="1"/>
    <col min="15" max="15" width="9.83203125" style="1708" customWidth="1"/>
    <col min="16" max="16" width="9.6640625" style="1708" customWidth="1"/>
    <col min="17" max="17" width="9.33203125" style="1708" customWidth="1"/>
    <col min="18" max="18" width="9.1640625" style="1708" customWidth="1"/>
    <col min="19" max="19" width="10.83203125" style="1708" customWidth="1"/>
    <col min="20" max="21" width="10.6640625" style="1708" customWidth="1"/>
    <col min="22" max="22" width="10.83203125" style="1708" customWidth="1"/>
    <col min="23" max="27" width="10.6640625" style="1708" customWidth="1"/>
    <col min="28" max="28" width="10.83203125" style="1708" customWidth="1"/>
    <col min="29" max="29" width="11" style="1708" bestFit="1" customWidth="1"/>
    <col min="30" max="30" width="10" style="1708" bestFit="1" customWidth="1"/>
    <col min="31" max="31" width="9.6640625" style="1708" customWidth="1"/>
    <col min="32" max="46" width="9.5" style="1708" customWidth="1"/>
    <col min="47" max="47" width="18.1640625" style="1708" customWidth="1"/>
    <col min="48" max="50" width="9.6640625" style="1708" customWidth="1"/>
    <col min="51" max="55" width="10.5" style="1708" bestFit="1" customWidth="1"/>
    <col min="56" max="56" width="9.5" style="1708" bestFit="1" customWidth="1"/>
    <col min="57" max="63" width="9.1640625" style="1708" bestFit="1" customWidth="1"/>
    <col min="64" max="64" width="9.5" style="1708" bestFit="1" customWidth="1"/>
    <col min="65" max="65" width="9.1640625" style="1708" bestFit="1" customWidth="1"/>
    <col min="66" max="66" width="9.5" style="1708" bestFit="1" customWidth="1"/>
    <col min="67" max="69" width="9.1640625" style="1708" bestFit="1" customWidth="1"/>
    <col min="70" max="70" width="9.5" style="1708" bestFit="1" customWidth="1"/>
    <col min="71" max="71" width="9" style="1708" customWidth="1"/>
    <col min="72" max="72" width="9.1640625" style="1708" bestFit="1" customWidth="1"/>
    <col min="73" max="16384" width="8.83203125" style="1708"/>
  </cols>
  <sheetData>
    <row r="1" spans="1:72" ht="20" x14ac:dyDescent="0.2">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8" x14ac:dyDescent="0.2">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x14ac:dyDescent="0.2">
      <c r="A3" s="13"/>
      <c r="B3" s="14">
        <f>IF(C3="否",G5-AT5,G5)</f>
        <v>58.81</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thickBot="1" x14ac:dyDescent="0.25">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x14ac:dyDescent="0.2">
      <c r="A5" s="15" t="s">
        <v>1516</v>
      </c>
      <c r="B5" s="1481"/>
      <c r="C5" s="1481"/>
      <c r="D5" s="1483"/>
      <c r="E5" s="16" t="s">
        <v>1</v>
      </c>
      <c r="F5" s="16">
        <f>SUM(F13:F587)</f>
        <v>0</v>
      </c>
      <c r="G5" s="16">
        <f>SUM(G13:G587)</f>
        <v>58.81</v>
      </c>
      <c r="H5" s="16">
        <f t="shared" ref="H5:AT5" si="0">SUM(H13:H656)</f>
        <v>58.81</v>
      </c>
      <c r="I5" s="16">
        <f t="shared" si="0"/>
        <v>58.81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58.81</v>
      </c>
      <c r="BA5" s="18">
        <f t="shared" si="1"/>
        <v>58.81</v>
      </c>
      <c r="BB5" s="18">
        <f t="shared" si="1"/>
        <v>58.81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x14ac:dyDescent="0.2">
      <c r="A6" s="15" t="s">
        <v>1517</v>
      </c>
      <c r="B6" s="1721"/>
      <c r="C6" s="1721"/>
      <c r="D6" s="172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8" x14ac:dyDescent="0.2">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8" x14ac:dyDescent="0.2">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x14ac:dyDescent="0.2">
      <c r="A9" s="1729"/>
      <c r="B9" s="1729"/>
      <c r="C9" s="1729"/>
      <c r="D9" s="1729"/>
      <c r="E9" s="1729"/>
      <c r="F9" s="1729"/>
      <c r="G9" s="1182"/>
      <c r="H9" s="1737" t="s">
        <v>1536</v>
      </c>
      <c r="I9" s="1738" t="s">
        <v>4457</v>
      </c>
      <c r="J9" s="898"/>
      <c r="K9" s="1738"/>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x14ac:dyDescent="0.2">
      <c r="A10" s="1729"/>
      <c r="B10" s="1729"/>
      <c r="C10" s="1729"/>
      <c r="D10" s="1729"/>
      <c r="E10" s="1729"/>
      <c r="F10" s="1729"/>
      <c r="G10" s="1182"/>
      <c r="H10" s="28"/>
      <c r="I10" s="1738" t="s">
        <v>1102</v>
      </c>
      <c r="J10" s="898"/>
      <c r="K10" s="1744"/>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x14ac:dyDescent="0.2">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x14ac:dyDescent="0.2">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3" x14ac:dyDescent="0.2">
      <c r="A13" s="1162"/>
      <c r="B13" s="1162"/>
      <c r="C13" s="1162"/>
      <c r="D13" s="1760" t="s">
        <v>3242</v>
      </c>
      <c r="E13" s="16">
        <f>IF($C$3="是",ROUND($A$3*G13/$B$3,2),ROUND($A$3*(G13-AT13)/$B$3,2))</f>
        <v>0</v>
      </c>
      <c r="F13" s="32"/>
      <c r="G13" s="33">
        <f>H13+AC13+AT13</f>
        <v>58.81</v>
      </c>
      <c r="H13" s="20">
        <f>SUMIF(I$12:AB$12,"总值",I13:AB13)</f>
        <v>58.81</v>
      </c>
      <c r="I13" s="1761">
        <f>租约整理!E43</f>
        <v>58.81</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0</v>
      </c>
      <c r="AZ13" s="16">
        <f>BA13+BL13</f>
        <v>58.81</v>
      </c>
      <c r="BA13" s="16">
        <f>SUM(BB13:BK13)</f>
        <v>58.81</v>
      </c>
      <c r="BB13" s="16">
        <f>IF($D13="是",I13-J13,0)</f>
        <v>58.81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3" x14ac:dyDescent="0.2">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3" x14ac:dyDescent="0.2">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3" x14ac:dyDescent="0.2">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3" x14ac:dyDescent="0.2">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x14ac:dyDescent="0.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x14ac:dyDescent="0.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x14ac:dyDescent="0.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x14ac:dyDescent="0.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x14ac:dyDescent="0.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x14ac:dyDescent="0.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x14ac:dyDescent="0.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x14ac:dyDescent="0.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x14ac:dyDescent="0.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x14ac:dyDescent="0.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x14ac:dyDescent="0.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x14ac:dyDescent="0.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x14ac:dyDescent="0.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x14ac:dyDescent="0.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x14ac:dyDescent="0.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x14ac:dyDescent="0.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x14ac:dyDescent="0.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x14ac:dyDescent="0.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x14ac:dyDescent="0.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x14ac:dyDescent="0.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x14ac:dyDescent="0.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x14ac:dyDescent="0.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x14ac:dyDescent="0.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x14ac:dyDescent="0.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x14ac:dyDescent="0.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x14ac:dyDescent="0.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x14ac:dyDescent="0.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x14ac:dyDescent="0.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x14ac:dyDescent="0.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x14ac:dyDescent="0.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x14ac:dyDescent="0.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x14ac:dyDescent="0.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x14ac:dyDescent="0.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x14ac:dyDescent="0.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x14ac:dyDescent="0.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x14ac:dyDescent="0.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x14ac:dyDescent="0.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x14ac:dyDescent="0.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x14ac:dyDescent="0.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x14ac:dyDescent="0.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x14ac:dyDescent="0.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x14ac:dyDescent="0.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x14ac:dyDescent="0.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x14ac:dyDescent="0.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x14ac:dyDescent="0.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x14ac:dyDescent="0.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x14ac:dyDescent="0.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x14ac:dyDescent="0.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x14ac:dyDescent="0.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x14ac:dyDescent="0.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x14ac:dyDescent="0.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x14ac:dyDescent="0.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x14ac:dyDescent="0.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x14ac:dyDescent="0.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x14ac:dyDescent="0.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x14ac:dyDescent="0.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x14ac:dyDescent="0.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x14ac:dyDescent="0.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x14ac:dyDescent="0.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x14ac:dyDescent="0.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x14ac:dyDescent="0.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x14ac:dyDescent="0.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x14ac:dyDescent="0.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x14ac:dyDescent="0.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x14ac:dyDescent="0.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x14ac:dyDescent="0.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x14ac:dyDescent="0.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x14ac:dyDescent="0.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x14ac:dyDescent="0.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x14ac:dyDescent="0.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x14ac:dyDescent="0.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x14ac:dyDescent="0.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x14ac:dyDescent="0.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x14ac:dyDescent="0.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x14ac:dyDescent="0.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x14ac:dyDescent="0.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x14ac:dyDescent="0.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x14ac:dyDescent="0.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x14ac:dyDescent="0.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x14ac:dyDescent="0.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x14ac:dyDescent="0.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x14ac:dyDescent="0.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x14ac:dyDescent="0.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x14ac:dyDescent="0.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x14ac:dyDescent="0.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x14ac:dyDescent="0.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x14ac:dyDescent="0.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x14ac:dyDescent="0.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x14ac:dyDescent="0.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x14ac:dyDescent="0.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x14ac:dyDescent="0.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x14ac:dyDescent="0.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x14ac:dyDescent="0.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x14ac:dyDescent="0.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x14ac:dyDescent="0.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x14ac:dyDescent="0.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x14ac:dyDescent="0.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x14ac:dyDescent="0.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x14ac:dyDescent="0.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x14ac:dyDescent="0.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x14ac:dyDescent="0.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x14ac:dyDescent="0.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x14ac:dyDescent="0.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x14ac:dyDescent="0.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x14ac:dyDescent="0.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x14ac:dyDescent="0.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x14ac:dyDescent="0.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x14ac:dyDescent="0.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x14ac:dyDescent="0.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x14ac:dyDescent="0.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x14ac:dyDescent="0.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x14ac:dyDescent="0.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x14ac:dyDescent="0.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x14ac:dyDescent="0.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x14ac:dyDescent="0.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x14ac:dyDescent="0.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x14ac:dyDescent="0.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x14ac:dyDescent="0.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x14ac:dyDescent="0.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x14ac:dyDescent="0.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x14ac:dyDescent="0.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x14ac:dyDescent="0.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x14ac:dyDescent="0.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x14ac:dyDescent="0.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x14ac:dyDescent="0.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x14ac:dyDescent="0.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x14ac:dyDescent="0.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x14ac:dyDescent="0.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x14ac:dyDescent="0.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x14ac:dyDescent="0.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x14ac:dyDescent="0.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x14ac:dyDescent="0.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x14ac:dyDescent="0.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x14ac:dyDescent="0.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x14ac:dyDescent="0.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x14ac:dyDescent="0.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x14ac:dyDescent="0.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x14ac:dyDescent="0.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x14ac:dyDescent="0.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x14ac:dyDescent="0.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x14ac:dyDescent="0.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x14ac:dyDescent="0.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x14ac:dyDescent="0.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x14ac:dyDescent="0.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x14ac:dyDescent="0.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x14ac:dyDescent="0.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x14ac:dyDescent="0.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x14ac:dyDescent="0.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x14ac:dyDescent="0.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x14ac:dyDescent="0.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x14ac:dyDescent="0.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x14ac:dyDescent="0.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x14ac:dyDescent="0.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x14ac:dyDescent="0.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x14ac:dyDescent="0.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x14ac:dyDescent="0.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x14ac:dyDescent="0.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x14ac:dyDescent="0.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x14ac:dyDescent="0.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x14ac:dyDescent="0.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x14ac:dyDescent="0.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x14ac:dyDescent="0.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x14ac:dyDescent="0.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x14ac:dyDescent="0.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x14ac:dyDescent="0.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x14ac:dyDescent="0.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x14ac:dyDescent="0.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x14ac:dyDescent="0.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x14ac:dyDescent="0.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x14ac:dyDescent="0.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x14ac:dyDescent="0.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x14ac:dyDescent="0.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x14ac:dyDescent="0.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x14ac:dyDescent="0.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x14ac:dyDescent="0.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x14ac:dyDescent="0.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x14ac:dyDescent="0.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x14ac:dyDescent="0.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x14ac:dyDescent="0.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x14ac:dyDescent="0.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x14ac:dyDescent="0.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x14ac:dyDescent="0.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x14ac:dyDescent="0.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x14ac:dyDescent="0.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x14ac:dyDescent="0.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x14ac:dyDescent="0.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x14ac:dyDescent="0.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x14ac:dyDescent="0.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x14ac:dyDescent="0.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x14ac:dyDescent="0.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x14ac:dyDescent="0.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x14ac:dyDescent="0.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x14ac:dyDescent="0.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x14ac:dyDescent="0.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x14ac:dyDescent="0.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x14ac:dyDescent="0.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x14ac:dyDescent="0.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x14ac:dyDescent="0.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x14ac:dyDescent="0.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x14ac:dyDescent="0.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x14ac:dyDescent="0.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x14ac:dyDescent="0.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x14ac:dyDescent="0.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x14ac:dyDescent="0.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x14ac:dyDescent="0.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x14ac:dyDescent="0.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x14ac:dyDescent="0.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x14ac:dyDescent="0.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x14ac:dyDescent="0.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x14ac:dyDescent="0.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x14ac:dyDescent="0.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x14ac:dyDescent="0.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x14ac:dyDescent="0.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x14ac:dyDescent="0.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x14ac:dyDescent="0.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x14ac:dyDescent="0.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x14ac:dyDescent="0.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x14ac:dyDescent="0.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x14ac:dyDescent="0.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x14ac:dyDescent="0.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x14ac:dyDescent="0.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x14ac:dyDescent="0.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x14ac:dyDescent="0.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x14ac:dyDescent="0.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x14ac:dyDescent="0.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x14ac:dyDescent="0.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x14ac:dyDescent="0.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x14ac:dyDescent="0.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x14ac:dyDescent="0.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x14ac:dyDescent="0.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x14ac:dyDescent="0.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x14ac:dyDescent="0.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x14ac:dyDescent="0.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x14ac:dyDescent="0.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x14ac:dyDescent="0.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x14ac:dyDescent="0.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x14ac:dyDescent="0.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x14ac:dyDescent="0.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x14ac:dyDescent="0.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x14ac:dyDescent="0.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x14ac:dyDescent="0.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x14ac:dyDescent="0.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x14ac:dyDescent="0.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x14ac:dyDescent="0.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x14ac:dyDescent="0.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x14ac:dyDescent="0.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x14ac:dyDescent="0.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x14ac:dyDescent="0.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x14ac:dyDescent="0.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x14ac:dyDescent="0.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x14ac:dyDescent="0.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x14ac:dyDescent="0.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x14ac:dyDescent="0.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x14ac:dyDescent="0.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x14ac:dyDescent="0.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x14ac:dyDescent="0.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x14ac:dyDescent="0.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x14ac:dyDescent="0.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x14ac:dyDescent="0.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x14ac:dyDescent="0.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x14ac:dyDescent="0.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x14ac:dyDescent="0.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x14ac:dyDescent="0.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x14ac:dyDescent="0.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x14ac:dyDescent="0.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x14ac:dyDescent="0.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x14ac:dyDescent="0.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x14ac:dyDescent="0.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x14ac:dyDescent="0.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x14ac:dyDescent="0.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x14ac:dyDescent="0.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x14ac:dyDescent="0.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x14ac:dyDescent="0.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x14ac:dyDescent="0.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x14ac:dyDescent="0.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x14ac:dyDescent="0.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x14ac:dyDescent="0.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x14ac:dyDescent="0.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x14ac:dyDescent="0.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x14ac:dyDescent="0.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x14ac:dyDescent="0.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x14ac:dyDescent="0.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x14ac:dyDescent="0.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x14ac:dyDescent="0.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x14ac:dyDescent="0.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x14ac:dyDescent="0.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x14ac:dyDescent="0.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x14ac:dyDescent="0.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x14ac:dyDescent="0.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x14ac:dyDescent="0.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x14ac:dyDescent="0.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x14ac:dyDescent="0.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x14ac:dyDescent="0.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x14ac:dyDescent="0.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x14ac:dyDescent="0.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x14ac:dyDescent="0.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x14ac:dyDescent="0.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x14ac:dyDescent="0.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x14ac:dyDescent="0.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x14ac:dyDescent="0.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x14ac:dyDescent="0.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x14ac:dyDescent="0.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x14ac:dyDescent="0.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x14ac:dyDescent="0.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x14ac:dyDescent="0.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x14ac:dyDescent="0.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x14ac:dyDescent="0.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x14ac:dyDescent="0.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x14ac:dyDescent="0.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x14ac:dyDescent="0.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x14ac:dyDescent="0.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x14ac:dyDescent="0.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x14ac:dyDescent="0.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x14ac:dyDescent="0.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x14ac:dyDescent="0.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x14ac:dyDescent="0.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x14ac:dyDescent="0.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x14ac:dyDescent="0.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x14ac:dyDescent="0.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x14ac:dyDescent="0.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x14ac:dyDescent="0.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x14ac:dyDescent="0.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x14ac:dyDescent="0.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x14ac:dyDescent="0.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x14ac:dyDescent="0.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x14ac:dyDescent="0.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x14ac:dyDescent="0.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x14ac:dyDescent="0.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x14ac:dyDescent="0.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x14ac:dyDescent="0.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x14ac:dyDescent="0.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x14ac:dyDescent="0.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x14ac:dyDescent="0.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x14ac:dyDescent="0.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x14ac:dyDescent="0.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x14ac:dyDescent="0.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x14ac:dyDescent="0.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x14ac:dyDescent="0.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x14ac:dyDescent="0.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x14ac:dyDescent="0.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x14ac:dyDescent="0.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x14ac:dyDescent="0.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x14ac:dyDescent="0.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x14ac:dyDescent="0.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x14ac:dyDescent="0.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x14ac:dyDescent="0.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x14ac:dyDescent="0.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x14ac:dyDescent="0.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x14ac:dyDescent="0.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x14ac:dyDescent="0.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x14ac:dyDescent="0.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x14ac:dyDescent="0.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x14ac:dyDescent="0.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x14ac:dyDescent="0.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x14ac:dyDescent="0.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x14ac:dyDescent="0.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x14ac:dyDescent="0.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x14ac:dyDescent="0.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x14ac:dyDescent="0.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x14ac:dyDescent="0.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x14ac:dyDescent="0.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x14ac:dyDescent="0.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x14ac:dyDescent="0.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x14ac:dyDescent="0.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x14ac:dyDescent="0.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x14ac:dyDescent="0.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x14ac:dyDescent="0.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x14ac:dyDescent="0.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x14ac:dyDescent="0.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x14ac:dyDescent="0.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x14ac:dyDescent="0.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x14ac:dyDescent="0.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x14ac:dyDescent="0.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x14ac:dyDescent="0.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x14ac:dyDescent="0.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x14ac:dyDescent="0.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x14ac:dyDescent="0.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x14ac:dyDescent="0.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x14ac:dyDescent="0.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x14ac:dyDescent="0.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x14ac:dyDescent="0.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x14ac:dyDescent="0.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x14ac:dyDescent="0.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x14ac:dyDescent="0.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x14ac:dyDescent="0.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x14ac:dyDescent="0.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x14ac:dyDescent="0.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x14ac:dyDescent="0.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x14ac:dyDescent="0.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x14ac:dyDescent="0.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x14ac:dyDescent="0.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x14ac:dyDescent="0.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x14ac:dyDescent="0.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x14ac:dyDescent="0.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x14ac:dyDescent="0.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x14ac:dyDescent="0.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x14ac:dyDescent="0.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x14ac:dyDescent="0.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x14ac:dyDescent="0.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x14ac:dyDescent="0.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x14ac:dyDescent="0.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x14ac:dyDescent="0.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x14ac:dyDescent="0.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x14ac:dyDescent="0.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x14ac:dyDescent="0.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x14ac:dyDescent="0.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x14ac:dyDescent="0.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x14ac:dyDescent="0.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x14ac:dyDescent="0.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x14ac:dyDescent="0.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x14ac:dyDescent="0.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x14ac:dyDescent="0.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x14ac:dyDescent="0.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x14ac:dyDescent="0.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x14ac:dyDescent="0.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x14ac:dyDescent="0.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x14ac:dyDescent="0.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x14ac:dyDescent="0.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x14ac:dyDescent="0.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x14ac:dyDescent="0.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x14ac:dyDescent="0.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x14ac:dyDescent="0.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x14ac:dyDescent="0.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x14ac:dyDescent="0.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x14ac:dyDescent="0.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x14ac:dyDescent="0.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x14ac:dyDescent="0.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x14ac:dyDescent="0.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x14ac:dyDescent="0.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x14ac:dyDescent="0.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x14ac:dyDescent="0.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x14ac:dyDescent="0.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x14ac:dyDescent="0.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x14ac:dyDescent="0.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x14ac:dyDescent="0.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x14ac:dyDescent="0.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x14ac:dyDescent="0.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x14ac:dyDescent="0.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x14ac:dyDescent="0.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x14ac:dyDescent="0.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x14ac:dyDescent="0.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x14ac:dyDescent="0.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x14ac:dyDescent="0.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x14ac:dyDescent="0.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x14ac:dyDescent="0.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x14ac:dyDescent="0.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x14ac:dyDescent="0.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x14ac:dyDescent="0.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x14ac:dyDescent="0.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x14ac:dyDescent="0.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x14ac:dyDescent="0.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x14ac:dyDescent="0.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x14ac:dyDescent="0.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x14ac:dyDescent="0.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x14ac:dyDescent="0.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x14ac:dyDescent="0.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x14ac:dyDescent="0.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x14ac:dyDescent="0.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x14ac:dyDescent="0.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x14ac:dyDescent="0.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x14ac:dyDescent="0.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x14ac:dyDescent="0.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x14ac:dyDescent="0.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x14ac:dyDescent="0.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x14ac:dyDescent="0.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x14ac:dyDescent="0.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x14ac:dyDescent="0.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x14ac:dyDescent="0.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x14ac:dyDescent="0.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x14ac:dyDescent="0.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x14ac:dyDescent="0.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x14ac:dyDescent="0.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x14ac:dyDescent="0.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x14ac:dyDescent="0.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x14ac:dyDescent="0.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x14ac:dyDescent="0.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x14ac:dyDescent="0.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x14ac:dyDescent="0.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x14ac:dyDescent="0.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x14ac:dyDescent="0.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x14ac:dyDescent="0.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x14ac:dyDescent="0.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x14ac:dyDescent="0.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x14ac:dyDescent="0.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x14ac:dyDescent="0.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x14ac:dyDescent="0.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x14ac:dyDescent="0.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x14ac:dyDescent="0.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x14ac:dyDescent="0.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x14ac:dyDescent="0.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x14ac:dyDescent="0.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x14ac:dyDescent="0.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x14ac:dyDescent="0.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x14ac:dyDescent="0.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x14ac:dyDescent="0.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x14ac:dyDescent="0.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x14ac:dyDescent="0.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x14ac:dyDescent="0.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x14ac:dyDescent="0.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x14ac:dyDescent="0.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x14ac:dyDescent="0.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x14ac:dyDescent="0.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x14ac:dyDescent="0.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x14ac:dyDescent="0.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x14ac:dyDescent="0.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x14ac:dyDescent="0.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x14ac:dyDescent="0.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x14ac:dyDescent="0.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x14ac:dyDescent="0.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x14ac:dyDescent="0.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x14ac:dyDescent="0.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x14ac:dyDescent="0.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x14ac:dyDescent="0.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x14ac:dyDescent="0.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x14ac:dyDescent="0.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x14ac:dyDescent="0.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x14ac:dyDescent="0.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x14ac:dyDescent="0.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x14ac:dyDescent="0.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x14ac:dyDescent="0.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x14ac:dyDescent="0.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x14ac:dyDescent="0.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x14ac:dyDescent="0.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x14ac:dyDescent="0.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x14ac:dyDescent="0.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x14ac:dyDescent="0.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x14ac:dyDescent="0.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x14ac:dyDescent="0.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x14ac:dyDescent="0.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x14ac:dyDescent="0.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x14ac:dyDescent="0.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x14ac:dyDescent="0.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x14ac:dyDescent="0.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x14ac:dyDescent="0.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x14ac:dyDescent="0.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x14ac:dyDescent="0.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x14ac:dyDescent="0.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x14ac:dyDescent="0.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x14ac:dyDescent="0.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x14ac:dyDescent="0.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x14ac:dyDescent="0.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x14ac:dyDescent="0.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x14ac:dyDescent="0.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x14ac:dyDescent="0.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x14ac:dyDescent="0.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x14ac:dyDescent="0.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x14ac:dyDescent="0.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x14ac:dyDescent="0.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x14ac:dyDescent="0.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x14ac:dyDescent="0.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x14ac:dyDescent="0.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x14ac:dyDescent="0.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x14ac:dyDescent="0.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x14ac:dyDescent="0.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x14ac:dyDescent="0.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x14ac:dyDescent="0.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x14ac:dyDescent="0.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x14ac:dyDescent="0.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x14ac:dyDescent="0.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x14ac:dyDescent="0.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x14ac:dyDescent="0.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x14ac:dyDescent="0.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x14ac:dyDescent="0.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x14ac:dyDescent="0.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x14ac:dyDescent="0.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x14ac:dyDescent="0.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x14ac:dyDescent="0.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x14ac:dyDescent="0.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x14ac:dyDescent="0.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x14ac:dyDescent="0.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x14ac:dyDescent="0.2">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x14ac:dyDescent="0.2">
      <c r="C589" s="1771"/>
      <c r="D589" s="1771"/>
    </row>
    <row r="590" spans="1:72" s="1770" customFormat="1" x14ac:dyDescent="0.2">
      <c r="C590" s="1771"/>
      <c r="D590" s="1771"/>
    </row>
    <row r="593" spans="2:2" x14ac:dyDescent="0.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B49" sqref="B49"/>
    </sheetView>
  </sheetViews>
  <sheetFormatPr baseColWidth="10" defaultColWidth="9" defaultRowHeight="15" x14ac:dyDescent="0.2"/>
  <cols>
    <col min="1" max="1" width="3.5" style="932" customWidth="1"/>
    <col min="2" max="9" width="10" style="932" customWidth="1"/>
    <col min="10" max="16384" width="9" style="932"/>
  </cols>
  <sheetData>
    <row r="36" spans="1:9" x14ac:dyDescent="0.2">
      <c r="A36" s="931" t="s">
        <v>637</v>
      </c>
      <c r="B36" s="931" t="s">
        <v>638</v>
      </c>
    </row>
    <row r="37" spans="1:9" ht="27.75" customHeight="1" x14ac:dyDescent="0.2">
      <c r="A37" s="931"/>
      <c r="B37" s="3374" t="str">
        <f>项目基本情况!B1</f>
        <v>北京市房地产市场价值预评估</v>
      </c>
      <c r="C37" s="3374"/>
      <c r="D37" s="3374"/>
      <c r="E37" s="3374"/>
      <c r="F37" s="3374"/>
      <c r="G37" s="3374"/>
      <c r="H37" s="3374"/>
      <c r="I37" s="3374"/>
    </row>
    <row r="38" spans="1:9" x14ac:dyDescent="0.2">
      <c r="A38" s="933"/>
      <c r="B38" s="933"/>
    </row>
    <row r="39" spans="1:9" x14ac:dyDescent="0.2">
      <c r="A39" s="931" t="s">
        <v>637</v>
      </c>
      <c r="B39" s="931" t="s">
        <v>639</v>
      </c>
    </row>
    <row r="40" spans="1:9" x14ac:dyDescent="0.2">
      <c r="A40" s="931"/>
      <c r="B40" s="1609">
        <f>项目基本情况!B5</f>
        <v>0</v>
      </c>
    </row>
    <row r="41" spans="1:9" x14ac:dyDescent="0.2">
      <c r="A41" s="931"/>
      <c r="B41" s="931"/>
    </row>
    <row r="42" spans="1:9" x14ac:dyDescent="0.2">
      <c r="A42" s="931" t="s">
        <v>637</v>
      </c>
      <c r="B42" s="931" t="s">
        <v>640</v>
      </c>
    </row>
    <row r="43" spans="1:9" x14ac:dyDescent="0.2">
      <c r="A43" s="931"/>
      <c r="B43" s="1609" t="s">
        <v>641</v>
      </c>
    </row>
    <row r="44" spans="1:9" x14ac:dyDescent="0.2">
      <c r="A44" s="931"/>
      <c r="B44" s="931"/>
    </row>
    <row r="45" spans="1:9" x14ac:dyDescent="0.2">
      <c r="A45" s="931" t="s">
        <v>637</v>
      </c>
      <c r="B45" s="931" t="s">
        <v>642</v>
      </c>
    </row>
    <row r="46" spans="1:9" s="931" customFormat="1" ht="14" x14ac:dyDescent="0.2">
      <c r="B46" s="1609" t="str">
        <f ca="1">项目基本情况!K4</f>
        <v>梁津（注册号：0)、陈颖（注册号：1120060040)</v>
      </c>
    </row>
    <row r="47" spans="1:9" x14ac:dyDescent="0.2">
      <c r="A47" s="931"/>
      <c r="B47" s="931" t="str">
        <f>项目基本情况!K5</f>
        <v>（注册号：0)、（注册号：0)</v>
      </c>
    </row>
    <row r="48" spans="1:9" x14ac:dyDescent="0.2">
      <c r="A48" s="931" t="s">
        <v>637</v>
      </c>
      <c r="B48" s="931" t="s">
        <v>643</v>
      </c>
    </row>
    <row r="49" spans="2:2" x14ac:dyDescent="0.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baseColWidth="10" defaultColWidth="9" defaultRowHeight="15" x14ac:dyDescent="0.2"/>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9" style="3"/>
  </cols>
  <sheetData>
    <row r="1" spans="1:13" x14ac:dyDescent="0.2">
      <c r="A1" s="3518" t="s">
        <v>0</v>
      </c>
      <c r="B1" s="3518" t="s">
        <v>4</v>
      </c>
      <c r="C1" s="3518" t="s">
        <v>5</v>
      </c>
      <c r="D1" s="3519" t="s">
        <v>53</v>
      </c>
      <c r="E1" s="3519" t="s">
        <v>54</v>
      </c>
      <c r="F1" s="3519"/>
      <c r="G1" s="3519"/>
      <c r="H1" s="3519"/>
      <c r="I1" s="3519"/>
      <c r="J1" s="3519"/>
      <c r="K1" s="3519"/>
      <c r="L1" s="3519"/>
      <c r="M1" s="3519"/>
    </row>
    <row r="2" spans="1:13" ht="27" customHeight="1" x14ac:dyDescent="0.2">
      <c r="A2" s="3518"/>
      <c r="B2" s="3518"/>
      <c r="C2" s="3518"/>
      <c r="D2" s="3519"/>
      <c r="E2" s="3519" t="s">
        <v>37</v>
      </c>
      <c r="F2" s="3519" t="s">
        <v>38</v>
      </c>
      <c r="G2" s="3519"/>
      <c r="H2" s="3519"/>
      <c r="I2" s="3519"/>
      <c r="J2" s="3519" t="s">
        <v>39</v>
      </c>
      <c r="K2" s="3519"/>
      <c r="L2" s="3519"/>
      <c r="M2" s="3519"/>
    </row>
    <row r="3" spans="1:13" ht="30" x14ac:dyDescent="0.2">
      <c r="A3" s="3518"/>
      <c r="B3" s="3518"/>
      <c r="C3" s="3518"/>
      <c r="D3" s="3519"/>
      <c r="E3" s="3519"/>
      <c r="F3" s="4" t="s">
        <v>40</v>
      </c>
      <c r="G3" s="4" t="s">
        <v>35</v>
      </c>
      <c r="H3" s="4" t="s">
        <v>36</v>
      </c>
      <c r="I3" s="4" t="s">
        <v>49</v>
      </c>
      <c r="J3" s="4" t="s">
        <v>40</v>
      </c>
      <c r="K3" s="4" t="s">
        <v>51</v>
      </c>
      <c r="L3" s="4" t="s">
        <v>50</v>
      </c>
      <c r="M3" s="4" t="s">
        <v>52</v>
      </c>
    </row>
    <row r="4" spans="1:13" ht="45" x14ac:dyDescent="0.2">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x14ac:dyDescent="0.2">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x14ac:dyDescent="0.2">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x14ac:dyDescent="0.2">
      <c r="A7" s="4" t="s">
        <v>41</v>
      </c>
      <c r="B7" s="4" t="s">
        <v>44</v>
      </c>
      <c r="C7" s="4" t="s">
        <v>47</v>
      </c>
      <c r="D7" s="5">
        <v>8.18</v>
      </c>
      <c r="E7" s="5">
        <v>44.41</v>
      </c>
      <c r="F7" s="5">
        <v>0</v>
      </c>
      <c r="G7" s="5">
        <v>0</v>
      </c>
      <c r="H7" s="5">
        <v>0</v>
      </c>
      <c r="I7" s="5">
        <v>0</v>
      </c>
      <c r="J7" s="5">
        <v>44.41</v>
      </c>
      <c r="K7" s="5">
        <v>44.41</v>
      </c>
      <c r="L7" s="5">
        <v>0</v>
      </c>
      <c r="M7" s="5">
        <v>0</v>
      </c>
    </row>
    <row r="8" spans="1:13" ht="45" x14ac:dyDescent="0.2">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x14ac:dyDescent="0.2">
      <c r="A9" s="3519" t="s">
        <v>55</v>
      </c>
      <c r="B9" s="3519"/>
      <c r="C9" s="351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80" zoomScaleSheetLayoutView="80" workbookViewId="0">
      <selection activeCell="F20" sqref="F20"/>
    </sheetView>
  </sheetViews>
  <sheetFormatPr baseColWidth="10" defaultColWidth="9.1640625" defaultRowHeight="14" x14ac:dyDescent="0.2"/>
  <cols>
    <col min="1" max="1" width="12.1640625" style="1773" customWidth="1"/>
    <col min="2" max="2" width="10.1640625" style="1773" customWidth="1"/>
    <col min="3" max="3" width="18.5" style="1773" customWidth="1"/>
    <col min="4" max="4" width="11.6640625" style="1773" customWidth="1"/>
    <col min="5" max="5" width="13.33203125" style="1773" customWidth="1"/>
    <col min="6" max="8" width="11.5" style="1773" customWidth="1"/>
    <col min="9" max="9" width="11.1640625" style="1773" customWidth="1"/>
    <col min="10" max="10" width="3.1640625" style="2825" customWidth="1"/>
    <col min="11" max="16" width="10" style="1773" customWidth="1"/>
    <col min="17" max="17" width="2.6640625" style="1773" customWidth="1"/>
    <col min="18" max="18" width="9.33203125" style="1773" bestFit="1" customWidth="1"/>
    <col min="19" max="19" width="10.5" style="1773" bestFit="1" customWidth="1"/>
    <col min="20" max="16384" width="9.1640625" style="1773"/>
  </cols>
  <sheetData>
    <row r="1" spans="1:16" ht="19" thickBot="1" x14ac:dyDescent="0.25">
      <c r="A1" s="1772" t="s">
        <v>1575</v>
      </c>
      <c r="B1" s="1253"/>
      <c r="C1" s="1253"/>
      <c r="D1" s="1253"/>
      <c r="E1" s="1253"/>
      <c r="F1" s="1253"/>
      <c r="G1" s="1253"/>
      <c r="H1" s="1253"/>
      <c r="I1" s="1253"/>
      <c r="J1" s="1253"/>
      <c r="K1" s="1253"/>
      <c r="L1" s="1253"/>
      <c r="M1" s="1253"/>
      <c r="N1" s="1253"/>
      <c r="O1" s="1253"/>
      <c r="P1" s="1253"/>
    </row>
    <row r="2" spans="1:16" x14ac:dyDescent="0.2">
      <c r="A2" s="3529" t="s">
        <v>1576</v>
      </c>
      <c r="B2" s="3529"/>
      <c r="C2" s="3529"/>
      <c r="D2" s="884" t="s">
        <v>1552</v>
      </c>
      <c r="E2" s="1774" t="s">
        <v>1553</v>
      </c>
      <c r="F2" s="2835"/>
      <c r="G2" s="2826"/>
      <c r="H2" s="2827"/>
      <c r="I2" s="2498" t="s">
        <v>1577</v>
      </c>
      <c r="J2" s="2835"/>
      <c r="K2" s="2835"/>
      <c r="L2" s="2835"/>
      <c r="M2" s="2835"/>
      <c r="N2" s="2837"/>
      <c r="O2" s="2835"/>
      <c r="P2" s="2835"/>
    </row>
    <row r="3" spans="1:16" ht="15" thickBot="1" x14ac:dyDescent="0.25">
      <c r="A3" s="3530" t="s">
        <v>1550</v>
      </c>
      <c r="B3" s="3530"/>
      <c r="C3" s="3530"/>
      <c r="D3" s="46">
        <f>'数据-基础表'!AY6</f>
        <v>0</v>
      </c>
      <c r="E3" s="46">
        <f>'数据-基础表'!AZ5</f>
        <v>58.81</v>
      </c>
      <c r="F3" s="2835"/>
      <c r="G3" s="1259"/>
      <c r="H3" s="1137" t="s">
        <v>1551</v>
      </c>
      <c r="I3" s="944" t="e">
        <f>ROUND('数据-基础表'!B3/'数据-基础表'!A3,2)</f>
        <v>#DIV/0!</v>
      </c>
      <c r="J3" s="2835"/>
      <c r="K3" s="2835"/>
      <c r="L3" s="2835"/>
      <c r="M3" s="2835"/>
      <c r="N3" s="2837"/>
      <c r="O3" s="2835"/>
      <c r="P3" s="2835"/>
    </row>
    <row r="4" spans="1:16" x14ac:dyDescent="0.2">
      <c r="A4" s="3531"/>
      <c r="B4" s="3532"/>
      <c r="C4" s="3533"/>
      <c r="D4" s="1776" t="s">
        <v>1552</v>
      </c>
      <c r="E4" s="1777" t="s">
        <v>1553</v>
      </c>
      <c r="F4" s="2835"/>
      <c r="G4" s="2828" t="s">
        <v>1578</v>
      </c>
      <c r="H4" s="1137" t="s">
        <v>1558</v>
      </c>
      <c r="I4" s="944" t="e">
        <f>ROUND(SUMIF('数据-基础表'!I9:AS9,"地上",'数据-基础表'!I5:AS5)/'数据-基础表'!A3,2)</f>
        <v>#DIV/0!</v>
      </c>
      <c r="J4" s="2835"/>
      <c r="K4" s="2835"/>
      <c r="L4" s="2835"/>
      <c r="M4" s="2835"/>
      <c r="N4" s="2837"/>
      <c r="O4" s="2835"/>
      <c r="P4" s="2835"/>
    </row>
    <row r="5" spans="1:16" x14ac:dyDescent="0.2">
      <c r="A5" s="47" t="s">
        <v>1554</v>
      </c>
      <c r="B5" s="3534" t="s">
        <v>1555</v>
      </c>
      <c r="C5" s="3534"/>
      <c r="D5" s="48">
        <f>ROUND($D$3*E5/$E$3,2)</f>
        <v>0</v>
      </c>
      <c r="E5" s="49">
        <f>SUMIF('数据-基础表'!$11:$11,"住宅",'数据-基础表'!$5:$5)</f>
        <v>0</v>
      </c>
      <c r="F5" s="2835"/>
      <c r="G5" s="1259"/>
      <c r="H5" s="1137" t="s">
        <v>1551</v>
      </c>
      <c r="I5" s="944" t="e">
        <f>ROUND(E31/D31,2)</f>
        <v>#DIV/0!</v>
      </c>
      <c r="J5" s="2835"/>
      <c r="K5" s="2835"/>
      <c r="L5" s="2835"/>
      <c r="M5" s="2835"/>
      <c r="N5" s="2835"/>
      <c r="O5" s="2835"/>
      <c r="P5" s="2835"/>
    </row>
    <row r="6" spans="1:16" ht="15" thickBot="1" x14ac:dyDescent="0.25">
      <c r="A6" s="1779"/>
      <c r="B6" s="3534" t="s">
        <v>1556</v>
      </c>
      <c r="C6" s="3534"/>
      <c r="D6" s="48">
        <f>ROUND($D$3*E6/$E$3,2)</f>
        <v>0</v>
      </c>
      <c r="E6" s="49">
        <f>E3-E5</f>
        <v>58.81</v>
      </c>
      <c r="F6" s="2835"/>
      <c r="G6" s="2829" t="s">
        <v>1557</v>
      </c>
      <c r="H6" s="1260" t="s">
        <v>1558</v>
      </c>
      <c r="I6" s="2830" t="e">
        <f>ROUND(F31/D31,2)</f>
        <v>#DIV/0!</v>
      </c>
      <c r="J6" s="2835"/>
      <c r="K6" s="2835"/>
      <c r="L6" s="2835"/>
      <c r="M6" s="2835"/>
      <c r="N6" s="2835"/>
      <c r="O6" s="2835"/>
      <c r="P6" s="2835"/>
    </row>
    <row r="7" spans="1:16" ht="15" thickBot="1" x14ac:dyDescent="0.25">
      <c r="A7" s="3526"/>
      <c r="B7" s="3527"/>
      <c r="C7" s="3528"/>
      <c r="D7" s="1776" t="s">
        <v>1552</v>
      </c>
      <c r="E7" s="1780" t="s">
        <v>1559</v>
      </c>
      <c r="F7" s="2835"/>
      <c r="G7" s="2831" t="s">
        <v>1560</v>
      </c>
      <c r="H7" s="2832"/>
      <c r="I7" s="2833"/>
      <c r="J7" s="2835"/>
      <c r="K7" s="2835"/>
      <c r="L7" s="2835"/>
      <c r="M7" s="2835"/>
      <c r="N7" s="2835"/>
      <c r="O7" s="2835"/>
      <c r="P7" s="2835"/>
    </row>
    <row r="8" spans="1:16" x14ac:dyDescent="0.2">
      <c r="A8" s="47" t="s">
        <v>1561</v>
      </c>
      <c r="B8" s="50" t="s">
        <v>1562</v>
      </c>
      <c r="C8" s="48" t="s">
        <v>1563</v>
      </c>
      <c r="D8" s="48">
        <f t="shared" ref="D8:D15" si="0">ROUND($D$3*E8/$E$3,2)</f>
        <v>0</v>
      </c>
      <c r="E8" s="51">
        <f>SUMIF('数据-基础表'!BB10:BK10,"地上",'数据-基础表'!BB5:BK5)</f>
        <v>58.81</v>
      </c>
      <c r="F8" s="2835"/>
      <c r="G8" s="2836"/>
      <c r="H8" s="2836"/>
      <c r="I8" s="2835"/>
      <c r="J8" s="2835"/>
      <c r="K8" s="2835"/>
      <c r="L8" s="2835"/>
      <c r="M8" s="2835"/>
      <c r="N8" s="2835"/>
      <c r="O8" s="2835"/>
      <c r="P8" s="2835"/>
    </row>
    <row r="9" spans="1:16" x14ac:dyDescent="0.2">
      <c r="A9" s="1781"/>
      <c r="B9" s="1782"/>
      <c r="C9" s="48" t="s">
        <v>1564</v>
      </c>
      <c r="D9" s="48">
        <f t="shared" si="0"/>
        <v>0</v>
      </c>
      <c r="E9" s="52">
        <v>0</v>
      </c>
      <c r="F9" s="2835"/>
      <c r="G9" s="2836"/>
      <c r="H9" s="2836"/>
      <c r="I9" s="2835"/>
      <c r="J9" s="2835"/>
      <c r="K9" s="2835"/>
      <c r="L9" s="2835"/>
      <c r="M9" s="2835"/>
      <c r="N9" s="2835"/>
      <c r="O9" s="2835"/>
      <c r="P9" s="2835"/>
    </row>
    <row r="10" spans="1:16" x14ac:dyDescent="0.2">
      <c r="A10" s="1781"/>
      <c r="B10" s="1782"/>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x14ac:dyDescent="0.2">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x14ac:dyDescent="0.2">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x14ac:dyDescent="0.2">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x14ac:dyDescent="0.2">
      <c r="A14" s="1781"/>
      <c r="B14" s="1782"/>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x14ac:dyDescent="0.25">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 thickBot="1" x14ac:dyDescent="0.25">
      <c r="A16" s="1779"/>
      <c r="B16" s="1782"/>
      <c r="C16" s="50" t="s">
        <v>1568</v>
      </c>
      <c r="D16" s="50">
        <f>SUM(D8:D15)</f>
        <v>0</v>
      </c>
      <c r="E16" s="53">
        <f>SUM(E8:E15)</f>
        <v>58.81</v>
      </c>
      <c r="F16" s="2835"/>
      <c r="G16" s="2836"/>
      <c r="H16" s="1783" t="s">
        <v>1580</v>
      </c>
      <c r="I16" s="1784"/>
      <c r="J16" s="1253"/>
      <c r="K16" s="3523" t="s">
        <v>1580</v>
      </c>
      <c r="L16" s="3524"/>
      <c r="M16" s="3524"/>
      <c r="N16" s="3524"/>
      <c r="O16" s="3524"/>
      <c r="P16" s="3525"/>
    </row>
    <row r="17" spans="1:19" x14ac:dyDescent="0.2">
      <c r="A17" s="1785" t="s">
        <v>1581</v>
      </c>
      <c r="B17" s="1786" t="s">
        <v>1582</v>
      </c>
      <c r="C17" s="1787" t="s">
        <v>1583</v>
      </c>
      <c r="D17" s="1788" t="s">
        <v>1571</v>
      </c>
      <c r="E17" s="1789" t="s">
        <v>1572</v>
      </c>
      <c r="F17" s="1790"/>
      <c r="G17" s="1791"/>
      <c r="H17" s="1792" t="s">
        <v>1584</v>
      </c>
      <c r="I17" s="1793" t="s">
        <v>1569</v>
      </c>
      <c r="J17" s="1253"/>
      <c r="K17" s="3520" t="s">
        <v>1585</v>
      </c>
      <c r="L17" s="3521"/>
      <c r="M17" s="3522"/>
      <c r="N17" s="3520" t="s">
        <v>1586</v>
      </c>
      <c r="O17" s="3521"/>
      <c r="P17" s="3522"/>
      <c r="R17" s="1775" t="s">
        <v>1587</v>
      </c>
      <c r="S17" s="60"/>
    </row>
    <row r="18" spans="1:19" x14ac:dyDescent="0.2">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x14ac:dyDescent="0.2">
      <c r="A19" s="1802"/>
      <c r="B19" s="50" t="s">
        <v>1570</v>
      </c>
      <c r="C19" s="1803" t="s">
        <v>4711</v>
      </c>
      <c r="D19" s="48">
        <f>ROUND($D$3*E19/$E$3,2)</f>
        <v>0</v>
      </c>
      <c r="E19" s="56">
        <f t="shared" ref="E19:E26" si="1">SUM(F19:G19)</f>
        <v>58.81</v>
      </c>
      <c r="F19" s="2975">
        <f>'数据-基础表'!I13</f>
        <v>58.81</v>
      </c>
      <c r="G19" s="2976"/>
      <c r="H19" s="678">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0</v>
      </c>
      <c r="S19" s="1138">
        <f t="shared" si="5"/>
        <v>58.81</v>
      </c>
    </row>
    <row r="20" spans="1:19" x14ac:dyDescent="0.2">
      <c r="A20" s="1806"/>
      <c r="B20" s="50" t="s">
        <v>1598</v>
      </c>
      <c r="C20" s="1803"/>
      <c r="D20" s="48">
        <f t="shared" ref="D20:D26" si="6">ROUND($D$3*E20/$E$3,2)</f>
        <v>0</v>
      </c>
      <c r="E20" s="56">
        <f t="shared" si="1"/>
        <v>0</v>
      </c>
      <c r="F20" s="2975"/>
      <c r="G20" s="2976"/>
      <c r="H20" s="678">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x14ac:dyDescent="0.2">
      <c r="A21" s="1806"/>
      <c r="B21" s="50" t="s">
        <v>1598</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x14ac:dyDescent="0.2">
      <c r="A22" s="1806"/>
      <c r="B22" s="50" t="s">
        <v>1598</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x14ac:dyDescent="0.2">
      <c r="A23" s="1806"/>
      <c r="B23" s="50" t="s">
        <v>1598</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x14ac:dyDescent="0.2">
      <c r="A24" s="1806"/>
      <c r="B24" s="50" t="s">
        <v>1598</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x14ac:dyDescent="0.2">
      <c r="A25" s="1806"/>
      <c r="B25" s="50" t="s">
        <v>1598</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x14ac:dyDescent="0.2">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 thickBot="1" x14ac:dyDescent="0.25">
      <c r="A27" s="1806"/>
      <c r="B27" s="48"/>
      <c r="C27" s="1809" t="s">
        <v>1599</v>
      </c>
      <c r="D27" s="1254">
        <f>SUM(D19:D26)</f>
        <v>0</v>
      </c>
      <c r="E27" s="1255">
        <f>IF(SUM(E19:E26)='数据-基础表'!BA5,SUM(E19:E26),IF(F27="地上面积有误","面积有误","地下面积有误"))</f>
        <v>58.81</v>
      </c>
      <c r="F27" s="1254">
        <f>IF(SUM(F19:F26)=E8,SUM(F19:F26),"地上面积有误")</f>
        <v>58.81</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0</v>
      </c>
      <c r="S27" s="1137">
        <f>IF(SUM(S19:S26)=$E$3,SUM(S19:S26),SUM(S19:S26)&amp;"误差"&amp;ROUND(SUM(S19:S26)-E3,2))</f>
        <v>58.81</v>
      </c>
    </row>
    <row r="28" spans="1:19" x14ac:dyDescent="0.2">
      <c r="A28" s="1806"/>
      <c r="B28" s="50" t="s">
        <v>1600</v>
      </c>
      <c r="C28" s="1149"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x14ac:dyDescent="0.2">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x14ac:dyDescent="0.2">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 thickBot="1" x14ac:dyDescent="0.25">
      <c r="A31" s="1812"/>
      <c r="B31" s="1813"/>
      <c r="C31" s="924" t="s">
        <v>1603</v>
      </c>
      <c r="D31" s="684">
        <f>D27+D30</f>
        <v>0</v>
      </c>
      <c r="E31" s="684">
        <f>E27+E30</f>
        <v>58.81</v>
      </c>
      <c r="F31" s="685">
        <f>F27+F30</f>
        <v>58.81</v>
      </c>
      <c r="G31" s="686">
        <f>G27+G30</f>
        <v>0</v>
      </c>
      <c r="H31" s="2835"/>
      <c r="I31" s="2835"/>
      <c r="J31" s="2835"/>
      <c r="K31" s="2835"/>
      <c r="L31" s="2835"/>
      <c r="M31" s="2835"/>
      <c r="N31" s="2835"/>
      <c r="O31" s="2835"/>
      <c r="P31" s="2835"/>
    </row>
    <row r="32" spans="1:19" x14ac:dyDescent="0.2">
      <c r="A32" s="1778"/>
      <c r="B32" s="1778" t="s">
        <v>1604</v>
      </c>
      <c r="C32" s="1778"/>
      <c r="D32" s="1778"/>
      <c r="E32" s="1164">
        <f>SUMIF(C19:C26,"*住宅*",E19:E26)</f>
        <v>0</v>
      </c>
      <c r="F32" s="1778"/>
      <c r="G32" s="1778"/>
      <c r="H32" s="2835"/>
      <c r="I32" s="2835"/>
      <c r="J32" s="2835"/>
      <c r="K32" s="2835"/>
      <c r="L32" s="2835"/>
      <c r="M32" s="2835"/>
      <c r="N32" s="2835"/>
      <c r="O32" s="2835"/>
      <c r="P32" s="2835"/>
    </row>
    <row r="33" spans="4:4" x14ac:dyDescent="0.2">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0"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B29" sqref="B29"/>
    </sheetView>
  </sheetViews>
  <sheetFormatPr baseColWidth="10" defaultColWidth="13.6640625" defaultRowHeight="13" x14ac:dyDescent="0.2"/>
  <cols>
    <col min="1" max="1" width="20.83203125" style="1881" customWidth="1"/>
    <col min="2" max="2" width="12" style="1818" customWidth="1"/>
    <col min="3" max="3" width="12.6640625" style="1818" customWidth="1"/>
    <col min="4" max="4" width="9.1640625" style="1882" customWidth="1"/>
    <col min="5" max="5" width="15" style="1818" bestFit="1" customWidth="1"/>
    <col min="6" max="10" width="8.83203125" style="1818" customWidth="1"/>
    <col min="11" max="12" width="12.33203125" style="1736" customWidth="1"/>
    <col min="13" max="13" width="8.6640625" style="1818" customWidth="1"/>
    <col min="14" max="14" width="11.83203125" style="1818" customWidth="1"/>
    <col min="15" max="15" width="8.5" style="1818" customWidth="1"/>
    <col min="16" max="17" width="10.83203125" style="1818" customWidth="1"/>
    <col min="18" max="19" width="12.5" style="1818" customWidth="1"/>
    <col min="20" max="20" width="12.1640625" style="1818" customWidth="1"/>
    <col min="21" max="21" width="7.5" style="1818" customWidth="1"/>
    <col min="22" max="22" width="6.33203125" style="1818" customWidth="1"/>
    <col min="23" max="30" width="6.6640625" style="1818" customWidth="1"/>
    <col min="31" max="31" width="8" style="1818" customWidth="1"/>
    <col min="32" max="34" width="7.1640625" style="1818" customWidth="1"/>
    <col min="35" max="39" width="8" style="1818" customWidth="1"/>
    <col min="40" max="40" width="13.6640625" style="1817"/>
    <col min="41" max="41" width="11.6640625" style="1817" customWidth="1"/>
    <col min="42" max="42" width="9.6640625" style="1817" customWidth="1"/>
    <col min="43" max="67" width="13.6640625" style="1817"/>
    <col min="68" max="16384" width="13.6640625" style="1818"/>
  </cols>
  <sheetData>
    <row r="1" spans="1:67" ht="18" thickBot="1" x14ac:dyDescent="0.25">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 thickBot="1" x14ac:dyDescent="0.25">
      <c r="A2" s="1819" t="s">
        <v>1606</v>
      </c>
      <c r="B2" s="1156">
        <f>项目基本情况!D3</f>
        <v>44868</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x14ac:dyDescent="0.25">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x14ac:dyDescent="0.25">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x14ac:dyDescent="0.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4712</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 x14ac:dyDescent="0.2">
      <c r="A6" s="1848" t="str">
        <f>'数据-汇总表'!C19</f>
        <v>商业</v>
      </c>
      <c r="B6" s="1849" t="str">
        <f>IF(A6=0,"","经营性")</f>
        <v>经营性</v>
      </c>
      <c r="C6" s="1850" t="s">
        <v>1102</v>
      </c>
      <c r="D6" s="947">
        <f>SUMIF(项目基本情况!D$12:I$12,C6,项目基本情况!D$14:I$14)</f>
        <v>40</v>
      </c>
      <c r="E6" s="946">
        <f>IF(B6="","",SUMIF(项目基本情况!D$12:I$12,C6,项目基本情况!D$13:I$13))</f>
        <v>52838</v>
      </c>
      <c r="F6" s="68">
        <f>SUMIF(项目基本情况!D$12:I$12,C6,项目基本情况!D$15:I$15)</f>
        <v>21.83</v>
      </c>
      <c r="G6" s="69">
        <f>IF(ISERROR(ROUND(POWER(1+H6,D6-F6)*(POWER(1+H6,F6)-1)/(POWER(1+H6,D6)-1),3)),0,ROUND(POWER(1+H6,D6-F6)*(POWER(1+H6,F6)-1)/(POWER(1+H6,D6)-1),3))</f>
        <v>0.78100000000000003</v>
      </c>
      <c r="H6" s="740">
        <v>5.5E-2</v>
      </c>
      <c r="I6" s="740">
        <v>5.5E-2</v>
      </c>
      <c r="J6" s="70">
        <v>7.0000000000000007E-2</v>
      </c>
      <c r="K6" s="1141">
        <f>SUMIF('数据-汇总表'!C$19:C$33,A6,'数据-汇总表'!E$19:E$33)</f>
        <v>58.81</v>
      </c>
      <c r="L6" s="741">
        <v>3000</v>
      </c>
      <c r="M6" s="71">
        <f t="shared" ref="M6:M14" si="0">ROUND(K6*L6/10000,0)</f>
        <v>18</v>
      </c>
      <c r="N6" s="739">
        <f>N22</f>
        <v>0.8</v>
      </c>
      <c r="O6" s="71" t="str">
        <f>IF($N$5="成新度","——",ROUND(M6*N6,0))</f>
        <v>——</v>
      </c>
      <c r="P6" s="72" t="str">
        <f>IF($N$5="成新度","——",M6-O6)</f>
        <v>——</v>
      </c>
      <c r="Q6" s="742">
        <v>0.25</v>
      </c>
      <c r="R6" s="73">
        <f ca="1">SUMIF('数据-汇总表'!C$19:C$33,A6,'数据-汇总表'!R$19:R$27)</f>
        <v>0</v>
      </c>
      <c r="S6" s="54">
        <f>IF('数据-汇总表'!$I$17="按面积比例",SUMIF('数据-汇总表'!C$19:C$33,A6,'数据-汇总表'!K$19:K$33),SUMIF('数据-汇总表'!C$19:C$33,A6,'数据-汇总表'!N$19:N$33))</f>
        <v>0</v>
      </c>
      <c r="T6" s="1286">
        <f>ROUND($L$14*S6/10000,0)</f>
        <v>0</v>
      </c>
      <c r="U6" s="74">
        <f>租约整理!K80</f>
        <v>11.34</v>
      </c>
      <c r="V6" s="75">
        <v>2.5000000000000001E-2</v>
      </c>
      <c r="W6" s="75">
        <v>0.1</v>
      </c>
      <c r="X6" s="1151"/>
      <c r="Y6" s="76">
        <f>N6</f>
        <v>0.8</v>
      </c>
      <c r="Z6" s="77"/>
      <c r="AA6" s="70"/>
      <c r="AB6" s="70"/>
      <c r="AC6" s="1151"/>
      <c r="AD6" s="78">
        <f>Y6</f>
        <v>0.8</v>
      </c>
      <c r="AE6" s="3331">
        <f>F6</f>
        <v>21.83</v>
      </c>
      <c r="AF6" s="1482">
        <v>0</v>
      </c>
      <c r="AG6" s="143">
        <f>IF(AF6="",0,AE6-AF6)</f>
        <v>21.83</v>
      </c>
      <c r="AH6" s="79">
        <f>'数据-汇总表'!F19</f>
        <v>58.81</v>
      </c>
      <c r="AI6" s="81">
        <v>365</v>
      </c>
      <c r="AJ6" s="82"/>
      <c r="AK6" s="83">
        <v>0.02</v>
      </c>
      <c r="AL6" s="84">
        <v>2E-3</v>
      </c>
      <c r="AM6" s="85">
        <v>0.02</v>
      </c>
      <c r="AN6" s="1851" t="s">
        <v>4488</v>
      </c>
      <c r="AO6" s="55">
        <f ca="1">SUMIF(INDIRECT("'"&amp;AN6&amp;"'"&amp;"!A:A"),"总价",INDIRECT("'"&amp;AN6&amp;"'"&amp;"!B:B"))</f>
        <v>265</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 x14ac:dyDescent="0.2">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 x14ac:dyDescent="0.2">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 x14ac:dyDescent="0.2">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 x14ac:dyDescent="0.2">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 x14ac:dyDescent="0.2">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 x14ac:dyDescent="0.2">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 x14ac:dyDescent="0.2">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 x14ac:dyDescent="0.2">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t="str">
        <f t="shared" si="3"/>
        <v>——</v>
      </c>
      <c r="P14" s="72" t="str">
        <f t="shared" si="4"/>
        <v>——</v>
      </c>
      <c r="Q14" s="1144"/>
      <c r="R14" s="73"/>
      <c r="S14" s="54"/>
      <c r="T14" s="1286"/>
      <c r="U14" s="678"/>
      <c r="V14" s="1146"/>
      <c r="W14" s="1146"/>
      <c r="X14" s="1147"/>
      <c r="Y14" s="1148"/>
      <c r="Z14" s="1149"/>
      <c r="AA14" s="1150"/>
      <c r="AB14" s="1150"/>
      <c r="AC14" s="1151"/>
      <c r="AD14" s="1147"/>
      <c r="AE14" s="1152"/>
      <c r="AF14" s="55"/>
      <c r="AG14" s="143"/>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8" x14ac:dyDescent="0.2">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3"/>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 thickBot="1" x14ac:dyDescent="0.25">
      <c r="A16" s="1855" t="s">
        <v>1654</v>
      </c>
      <c r="B16" s="93"/>
      <c r="C16" s="922"/>
      <c r="D16" s="1856"/>
      <c r="E16" s="93"/>
      <c r="F16" s="93"/>
      <c r="G16" s="94">
        <f>ROUND(SUMPRODUCT(G6:G13,K6:K13)/SUMPRODUCT((G6:G13&gt;0)*(K6:K13)),3)</f>
        <v>0.78100000000000003</v>
      </c>
      <c r="H16" s="95">
        <f>ROUND(SUMPRODUCT(H6:H13,K6:K13)/SUMPRODUCT((H6:H13&gt;0)*(K6:K13)),3)</f>
        <v>5.5E-2</v>
      </c>
      <c r="I16" s="96"/>
      <c r="J16" s="96"/>
      <c r="K16" s="97">
        <f>SUM(K6:K15)</f>
        <v>58.81</v>
      </c>
      <c r="L16" s="98">
        <f>ROUND(M16*10000/SUM(K6:K14),0)</f>
        <v>3061</v>
      </c>
      <c r="M16" s="98">
        <f>SUM(M6:M14)</f>
        <v>18</v>
      </c>
      <c r="N16" s="99">
        <f>ROUND(SUMPRODUCT(M6:M14,N6:N14)/M16,3)</f>
        <v>0.8</v>
      </c>
      <c r="O16" s="98">
        <f>SUM(O6:O14)</f>
        <v>0</v>
      </c>
      <c r="P16" s="98">
        <f>SUM(P6:P14)</f>
        <v>0</v>
      </c>
      <c r="Q16" s="100">
        <f>ROUND(SUMPRODUCT(Q6:Q13,K6:K13)/SUMPRODUCT((Q6:Q13&gt;0)*(K6:K13)),2)</f>
        <v>0.25</v>
      </c>
      <c r="R16" s="114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4" thickBot="1" x14ac:dyDescent="0.25">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x14ac:dyDescent="0.25">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 x14ac:dyDescent="0.2">
      <c r="A19" s="1858" t="s">
        <v>1656</v>
      </c>
      <c r="B19" s="108">
        <v>0</v>
      </c>
      <c r="C19" s="2979" t="s">
        <v>2806</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 x14ac:dyDescent="0.2">
      <c r="A20" s="1859" t="s">
        <v>1657</v>
      </c>
      <c r="B20" s="109">
        <v>2</v>
      </c>
      <c r="C20" s="2980" t="s">
        <v>2804</v>
      </c>
      <c r="D20" s="2854"/>
      <c r="E20" s="2851"/>
      <c r="F20" s="2851"/>
      <c r="G20" s="2851"/>
      <c r="H20" s="2851"/>
      <c r="I20" s="2851"/>
      <c r="J20" s="2851"/>
      <c r="K20" s="2850"/>
      <c r="L20" s="2850"/>
      <c r="M20" s="2849"/>
      <c r="N20" s="2849">
        <f>ROUND(1-(2022-2004)/60,2)</f>
        <v>0.7</v>
      </c>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 x14ac:dyDescent="0.2">
      <c r="A21" s="1860" t="s">
        <v>1658</v>
      </c>
      <c r="B21" s="109">
        <v>2</v>
      </c>
      <c r="C21" s="2851"/>
      <c r="D21" s="2854"/>
      <c r="E21" s="2851"/>
      <c r="F21" s="2851"/>
      <c r="G21" s="2851"/>
      <c r="H21" s="2851"/>
      <c r="I21" s="2851"/>
      <c r="J21" s="2851"/>
      <c r="K21" s="2850"/>
      <c r="L21" s="2850"/>
      <c r="M21" s="2849"/>
      <c r="N21" s="2849">
        <v>0.9</v>
      </c>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 x14ac:dyDescent="0.2">
      <c r="A22" s="1859" t="s">
        <v>1659</v>
      </c>
      <c r="B22" s="110">
        <f>B19+B20</f>
        <v>2</v>
      </c>
      <c r="C22" s="2851"/>
      <c r="D22" s="2854"/>
      <c r="E22" s="2851"/>
      <c r="F22" s="2851"/>
      <c r="G22" s="2851"/>
      <c r="H22" s="2851"/>
      <c r="I22" s="2851"/>
      <c r="J22" s="2851"/>
      <c r="K22" s="2850"/>
      <c r="L22" s="2850"/>
      <c r="M22" s="2849"/>
      <c r="N22" s="2849">
        <f>ROUND((N20+N21)/2,2)</f>
        <v>0.8</v>
      </c>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 x14ac:dyDescent="0.2">
      <c r="A23" s="1860"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x14ac:dyDescent="0.25">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x14ac:dyDescent="0.25">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x14ac:dyDescent="0.25">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8" x14ac:dyDescent="0.2">
      <c r="A27" s="1863" t="s">
        <v>1665</v>
      </c>
      <c r="B27" s="112">
        <v>0</v>
      </c>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8" x14ac:dyDescent="0.2">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9" thickBot="1" x14ac:dyDescent="0.25">
      <c r="A29" s="1866" t="s">
        <v>1667</v>
      </c>
      <c r="B29" s="117">
        <f ca="1">'成本法-商业'!C10</f>
        <v>1</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8" x14ac:dyDescent="0.2">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8" x14ac:dyDescent="0.2">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9" thickBot="1" x14ac:dyDescent="0.25">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 x14ac:dyDescent="0.2">
      <c r="A33" s="1863" t="s">
        <v>1671</v>
      </c>
      <c r="B33" s="681">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 x14ac:dyDescent="0.2">
      <c r="A34" s="1865" t="s">
        <v>1672</v>
      </c>
      <c r="B34" s="118">
        <v>0.1</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 x14ac:dyDescent="0.2">
      <c r="A35" s="1865" t="s">
        <v>1673</v>
      </c>
      <c r="B35" s="115">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x14ac:dyDescent="0.25">
      <c r="A36" s="1866" t="s">
        <v>1674</v>
      </c>
      <c r="B36" s="119">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 x14ac:dyDescent="0.2">
      <c r="A37" s="1867" t="s">
        <v>1675</v>
      </c>
      <c r="B37" s="120">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 x14ac:dyDescent="0.2">
      <c r="A38" s="1865" t="s">
        <v>1676</v>
      </c>
      <c r="B38" s="118">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 x14ac:dyDescent="0.2">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15" thickBot="1" x14ac:dyDescent="0.25">
      <c r="A40" s="2995" t="s">
        <v>2816</v>
      </c>
      <c r="B40" s="1190">
        <f ca="1">IF(A40="利息：取LPR",存贷款利率!G1,存贷款利率!G1+C40)</f>
        <v>3.6499999999999998E-2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 x14ac:dyDescent="0.2">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 x14ac:dyDescent="0.2">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 x14ac:dyDescent="0.2">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 x14ac:dyDescent="0.2">
      <c r="A44" s="1870" t="s">
        <v>1681</v>
      </c>
      <c r="B44" s="124">
        <v>7.0000000000000007E-2</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 x14ac:dyDescent="0.2">
      <c r="A45" s="1870" t="s">
        <v>1682</v>
      </c>
      <c r="B45" s="122">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 x14ac:dyDescent="0.2">
      <c r="A46" s="1870" t="s">
        <v>1683</v>
      </c>
      <c r="B46" s="122">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x14ac:dyDescent="0.25">
      <c r="A47" s="1871" t="s">
        <v>1684</v>
      </c>
      <c r="B47" s="125"/>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 x14ac:dyDescent="0.2">
      <c r="A48" s="1872" t="s">
        <v>1685</v>
      </c>
      <c r="B48" s="126">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x14ac:dyDescent="0.25">
      <c r="A49" s="1868" t="s">
        <v>1686</v>
      </c>
      <c r="B49" s="122">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 x14ac:dyDescent="0.2">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x14ac:dyDescent="0.25">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 x14ac:dyDescent="0.2">
      <c r="A52" s="1873" t="s">
        <v>1689</v>
      </c>
      <c r="B52" s="129">
        <f>SUMIF(A54:A63,B53,B54:B63)</f>
        <v>24</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8" x14ac:dyDescent="0.2">
      <c r="A53" s="1865" t="s">
        <v>1690</v>
      </c>
      <c r="B53" s="1874" t="s">
        <v>268</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 x14ac:dyDescent="0.2">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 x14ac:dyDescent="0.2">
      <c r="A55" s="1875" t="s">
        <v>1693</v>
      </c>
      <c r="B55" s="80">
        <f>C55</f>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 x14ac:dyDescent="0.2">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 x14ac:dyDescent="0.2">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 x14ac:dyDescent="0.2">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 x14ac:dyDescent="0.2">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 x14ac:dyDescent="0.2">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 x14ac:dyDescent="0.2">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 x14ac:dyDescent="0.2">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x14ac:dyDescent="0.25">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x14ac:dyDescent="0.2">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x14ac:dyDescent="0.2">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x14ac:dyDescent="0.2">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x14ac:dyDescent="0.2">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x14ac:dyDescent="0.2">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x14ac:dyDescent="0.2">
      <c r="A69" s="1877"/>
      <c r="D69" s="1878"/>
      <c r="K69" s="736"/>
      <c r="L69" s="736"/>
    </row>
    <row r="70" spans="1:44" s="881" customFormat="1" x14ac:dyDescent="0.2">
      <c r="A70" s="1877"/>
      <c r="D70" s="1878"/>
      <c r="K70" s="736"/>
      <c r="L70" s="736"/>
    </row>
    <row r="71" spans="1:44" s="881" customFormat="1" x14ac:dyDescent="0.2">
      <c r="A71" s="1877"/>
      <c r="D71" s="1878"/>
      <c r="K71" s="736"/>
      <c r="L71" s="736"/>
    </row>
    <row r="72" spans="1:44" s="881" customFormat="1" x14ac:dyDescent="0.2">
      <c r="A72" s="1877"/>
      <c r="D72" s="1878"/>
      <c r="K72" s="736"/>
      <c r="L72" s="736"/>
    </row>
    <row r="73" spans="1:44" s="881" customFormat="1" x14ac:dyDescent="0.2">
      <c r="A73" s="1877"/>
      <c r="D73" s="1878"/>
      <c r="K73" s="736"/>
      <c r="L73" s="736"/>
    </row>
    <row r="74" spans="1:44" s="881" customFormat="1" x14ac:dyDescent="0.2">
      <c r="A74" s="1877"/>
      <c r="D74" s="1878"/>
      <c r="K74" s="736"/>
      <c r="L74" s="736"/>
    </row>
    <row r="75" spans="1:44" s="881" customFormat="1" x14ac:dyDescent="0.2">
      <c r="A75" s="1877"/>
      <c r="D75" s="1878"/>
      <c r="K75" s="736"/>
      <c r="L75" s="736"/>
    </row>
    <row r="76" spans="1:44" s="881" customFormat="1" x14ac:dyDescent="0.2">
      <c r="A76" s="1877"/>
      <c r="D76" s="1878"/>
      <c r="K76" s="736"/>
      <c r="L76" s="736"/>
    </row>
    <row r="77" spans="1:44" s="881" customFormat="1" x14ac:dyDescent="0.2">
      <c r="A77" s="1877"/>
      <c r="D77" s="1878"/>
      <c r="K77" s="736"/>
      <c r="L77" s="736"/>
    </row>
    <row r="78" spans="1:44" s="881" customFormat="1" x14ac:dyDescent="0.2">
      <c r="A78" s="1877"/>
      <c r="D78" s="1878"/>
      <c r="K78" s="736"/>
      <c r="L78" s="736"/>
    </row>
    <row r="79" spans="1:44" s="881" customFormat="1" x14ac:dyDescent="0.2">
      <c r="A79" s="1877"/>
      <c r="D79" s="1878"/>
      <c r="K79" s="736"/>
      <c r="L79" s="736"/>
    </row>
    <row r="80" spans="1:44" s="881" customFormat="1" x14ac:dyDescent="0.2">
      <c r="A80" s="1877"/>
      <c r="D80" s="1878"/>
      <c r="K80" s="736"/>
      <c r="L80" s="736"/>
    </row>
    <row r="81" spans="1:12" s="881" customFormat="1" x14ac:dyDescent="0.2">
      <c r="A81" s="1877"/>
      <c r="D81" s="1878"/>
      <c r="K81" s="736"/>
      <c r="L81" s="736"/>
    </row>
    <row r="82" spans="1:12" s="881" customFormat="1" x14ac:dyDescent="0.2">
      <c r="A82" s="1877"/>
      <c r="D82" s="1878"/>
      <c r="K82" s="736"/>
      <c r="L82" s="736"/>
    </row>
    <row r="83" spans="1:12" s="881" customFormat="1" x14ac:dyDescent="0.2">
      <c r="A83" s="1877"/>
      <c r="D83" s="1878"/>
      <c r="K83" s="736"/>
      <c r="L83" s="736"/>
    </row>
    <row r="84" spans="1:12" s="881" customFormat="1" x14ac:dyDescent="0.2">
      <c r="A84" s="1877"/>
      <c r="D84" s="1878"/>
      <c r="K84" s="736"/>
      <c r="L84" s="736"/>
    </row>
    <row r="85" spans="1:12" s="881" customFormat="1" x14ac:dyDescent="0.2">
      <c r="A85" s="1877"/>
      <c r="D85" s="1878"/>
      <c r="K85" s="736"/>
      <c r="L85" s="736"/>
    </row>
    <row r="86" spans="1:12" s="881" customFormat="1" x14ac:dyDescent="0.2">
      <c r="A86" s="1877"/>
      <c r="D86" s="1878"/>
      <c r="K86" s="736"/>
      <c r="L86" s="736"/>
    </row>
    <row r="87" spans="1:12" s="881" customFormat="1" x14ac:dyDescent="0.2">
      <c r="A87" s="1877"/>
      <c r="D87" s="1878"/>
      <c r="K87" s="736"/>
      <c r="L87" s="736"/>
    </row>
    <row r="88" spans="1:12" s="881" customFormat="1" x14ac:dyDescent="0.2">
      <c r="A88" s="1877"/>
      <c r="D88" s="1878"/>
      <c r="K88" s="736"/>
      <c r="L88" s="736"/>
    </row>
    <row r="89" spans="1:12" s="881" customFormat="1" x14ac:dyDescent="0.2">
      <c r="A89" s="1877"/>
      <c r="D89" s="1878"/>
      <c r="K89" s="736"/>
      <c r="L89" s="736"/>
    </row>
    <row r="90" spans="1:12" s="881" customFormat="1" x14ac:dyDescent="0.2">
      <c r="A90" s="1877"/>
      <c r="D90" s="1878"/>
      <c r="K90" s="736"/>
      <c r="L90" s="736"/>
    </row>
    <row r="91" spans="1:12" s="881" customFormat="1" x14ac:dyDescent="0.2">
      <c r="A91" s="1877"/>
      <c r="D91" s="1878"/>
      <c r="K91" s="736"/>
      <c r="L91" s="736"/>
    </row>
    <row r="92" spans="1:12" s="881" customFormat="1" x14ac:dyDescent="0.2">
      <c r="A92" s="1877"/>
      <c r="D92" s="1878"/>
      <c r="K92" s="736"/>
      <c r="L92" s="736"/>
    </row>
    <row r="93" spans="1:12" s="881" customFormat="1" x14ac:dyDescent="0.2">
      <c r="A93" s="1877"/>
      <c r="D93" s="1878"/>
      <c r="K93" s="736"/>
      <c r="L93" s="736"/>
    </row>
    <row r="94" spans="1:12" s="881" customFormat="1" x14ac:dyDescent="0.2">
      <c r="A94" s="1877"/>
      <c r="D94" s="1878"/>
      <c r="K94" s="736"/>
      <c r="L94" s="736"/>
    </row>
    <row r="95" spans="1:12" s="881" customFormat="1" x14ac:dyDescent="0.2">
      <c r="A95" s="1877"/>
      <c r="D95" s="1878"/>
      <c r="K95" s="736"/>
      <c r="L95" s="736"/>
    </row>
    <row r="96" spans="1:12" s="881" customFormat="1" x14ac:dyDescent="0.2">
      <c r="A96" s="1877"/>
      <c r="D96" s="1878"/>
      <c r="K96" s="736"/>
      <c r="L96" s="736"/>
    </row>
    <row r="97" spans="1:12" s="881" customFormat="1" x14ac:dyDescent="0.2">
      <c r="A97" s="1877"/>
      <c r="D97" s="1878"/>
      <c r="K97" s="736"/>
      <c r="L97" s="736"/>
    </row>
    <row r="98" spans="1:12" s="881" customFormat="1" x14ac:dyDescent="0.2">
      <c r="A98" s="1877"/>
      <c r="D98" s="1878"/>
      <c r="K98" s="736"/>
      <c r="L98" s="736"/>
    </row>
    <row r="99" spans="1:12" s="881" customFormat="1" x14ac:dyDescent="0.2">
      <c r="A99" s="1877"/>
      <c r="D99" s="1878"/>
      <c r="K99" s="736"/>
      <c r="L99" s="736"/>
    </row>
    <row r="100" spans="1:12" s="881" customFormat="1" x14ac:dyDescent="0.2">
      <c r="A100" s="1877"/>
      <c r="D100" s="1878"/>
      <c r="K100" s="736"/>
      <c r="L100" s="736"/>
    </row>
    <row r="101" spans="1:12" s="881" customFormat="1" x14ac:dyDescent="0.2">
      <c r="A101" s="1877"/>
      <c r="D101" s="1878"/>
      <c r="K101" s="736"/>
      <c r="L101" s="736"/>
    </row>
    <row r="102" spans="1:12" s="881" customFormat="1" x14ac:dyDescent="0.2">
      <c r="A102" s="1877"/>
      <c r="D102" s="1878"/>
      <c r="K102" s="736"/>
      <c r="L102" s="736"/>
    </row>
    <row r="103" spans="1:12" s="881" customFormat="1" x14ac:dyDescent="0.2">
      <c r="A103" s="1877"/>
      <c r="D103" s="1878"/>
      <c r="K103" s="736"/>
      <c r="L103" s="736"/>
    </row>
    <row r="104" spans="1:12" s="881" customFormat="1" x14ac:dyDescent="0.2">
      <c r="A104" s="1877"/>
      <c r="D104" s="1878"/>
      <c r="K104" s="736"/>
      <c r="L104" s="736"/>
    </row>
    <row r="105" spans="1:12" s="881" customFormat="1" x14ac:dyDescent="0.2">
      <c r="A105" s="1877"/>
      <c r="D105" s="1878"/>
      <c r="K105" s="736"/>
      <c r="L105" s="736"/>
    </row>
    <row r="106" spans="1:12" s="881" customFormat="1" x14ac:dyDescent="0.2">
      <c r="A106" s="1877"/>
      <c r="D106" s="1878"/>
      <c r="K106" s="736"/>
      <c r="L106" s="736"/>
    </row>
    <row r="107" spans="1:12" s="881" customFormat="1" x14ac:dyDescent="0.2">
      <c r="A107" s="1877"/>
      <c r="D107" s="1878"/>
      <c r="K107" s="736"/>
      <c r="L107" s="736"/>
    </row>
    <row r="108" spans="1:12" s="881" customFormat="1" x14ac:dyDescent="0.2">
      <c r="A108" s="1877"/>
      <c r="D108" s="1878"/>
      <c r="K108" s="736"/>
      <c r="L108" s="736"/>
    </row>
    <row r="109" spans="1:12" s="881" customFormat="1" x14ac:dyDescent="0.2">
      <c r="A109" s="1877"/>
      <c r="D109" s="1878"/>
      <c r="K109" s="736"/>
      <c r="L109" s="736"/>
    </row>
    <row r="110" spans="1:12" s="881" customFormat="1" x14ac:dyDescent="0.2">
      <c r="A110" s="1877"/>
      <c r="D110" s="1878"/>
      <c r="K110" s="736"/>
      <c r="L110" s="736"/>
    </row>
    <row r="111" spans="1:12" s="881" customFormat="1" x14ac:dyDescent="0.2">
      <c r="A111" s="1877"/>
      <c r="D111" s="1878"/>
      <c r="K111" s="736"/>
      <c r="L111" s="736"/>
    </row>
    <row r="112" spans="1:12" s="881" customFormat="1" x14ac:dyDescent="0.2">
      <c r="A112" s="1877"/>
      <c r="D112" s="1878"/>
      <c r="K112" s="736"/>
      <c r="L112" s="736"/>
    </row>
    <row r="113" spans="1:12" s="881" customFormat="1" x14ac:dyDescent="0.2">
      <c r="A113" s="1877"/>
      <c r="D113" s="1878"/>
      <c r="K113" s="736"/>
      <c r="L113" s="736"/>
    </row>
    <row r="114" spans="1:12" s="881" customFormat="1" x14ac:dyDescent="0.2">
      <c r="A114" s="1877"/>
      <c r="D114" s="1878"/>
      <c r="K114" s="736"/>
      <c r="L114" s="736"/>
    </row>
    <row r="115" spans="1:12" s="881" customFormat="1" x14ac:dyDescent="0.2">
      <c r="A115" s="1877"/>
      <c r="D115" s="1878"/>
      <c r="K115" s="736"/>
      <c r="L115" s="736"/>
    </row>
    <row r="116" spans="1:12" s="881" customFormat="1" x14ac:dyDescent="0.2">
      <c r="A116" s="1877"/>
      <c r="D116" s="1878"/>
      <c r="K116" s="736"/>
      <c r="L116" s="736"/>
    </row>
    <row r="117" spans="1:12" s="881" customFormat="1" x14ac:dyDescent="0.2">
      <c r="A117" s="1877"/>
      <c r="D117" s="1878"/>
      <c r="K117" s="736"/>
      <c r="L117" s="736"/>
    </row>
    <row r="118" spans="1:12" s="881" customFormat="1" x14ac:dyDescent="0.2">
      <c r="A118" s="1877"/>
      <c r="D118" s="1878"/>
      <c r="K118" s="736"/>
      <c r="L118" s="736"/>
    </row>
    <row r="119" spans="1:12" s="881" customFormat="1" x14ac:dyDescent="0.2">
      <c r="A119" s="1877"/>
      <c r="D119" s="1878"/>
      <c r="K119" s="736"/>
      <c r="L119" s="736"/>
    </row>
    <row r="120" spans="1:12" s="881" customFormat="1" x14ac:dyDescent="0.2">
      <c r="A120" s="1877"/>
      <c r="D120" s="1878"/>
      <c r="K120" s="736"/>
      <c r="L120" s="736"/>
    </row>
    <row r="121" spans="1:12" s="881" customFormat="1" x14ac:dyDescent="0.2">
      <c r="A121" s="1877"/>
      <c r="D121" s="1878"/>
      <c r="K121" s="736"/>
      <c r="L121" s="736"/>
    </row>
    <row r="122" spans="1:12" s="881" customFormat="1" x14ac:dyDescent="0.2">
      <c r="A122" s="1877"/>
      <c r="D122" s="1878"/>
      <c r="K122" s="736"/>
      <c r="L122" s="736"/>
    </row>
    <row r="123" spans="1:12" s="881" customFormat="1" x14ac:dyDescent="0.2">
      <c r="A123" s="1877"/>
      <c r="D123" s="1878"/>
      <c r="K123" s="736"/>
      <c r="L123" s="736"/>
    </row>
    <row r="124" spans="1:12" s="881" customFormat="1" x14ac:dyDescent="0.2">
      <c r="A124" s="1877"/>
      <c r="D124" s="1878"/>
      <c r="K124" s="736"/>
      <c r="L124" s="736"/>
    </row>
    <row r="125" spans="1:12" s="881" customFormat="1" x14ac:dyDescent="0.2">
      <c r="A125" s="1877"/>
      <c r="D125" s="1878"/>
      <c r="K125" s="736"/>
      <c r="L125" s="736"/>
    </row>
    <row r="126" spans="1:12" s="881" customFormat="1" x14ac:dyDescent="0.2">
      <c r="A126" s="1877"/>
      <c r="D126" s="1878"/>
      <c r="K126" s="736"/>
      <c r="L126" s="736"/>
    </row>
    <row r="127" spans="1:12" s="881" customFormat="1" x14ac:dyDescent="0.2">
      <c r="A127" s="1877"/>
      <c r="D127" s="1878"/>
      <c r="K127" s="736"/>
      <c r="L127" s="736"/>
    </row>
    <row r="128" spans="1:12" s="881" customFormat="1" x14ac:dyDescent="0.2">
      <c r="A128" s="1877"/>
      <c r="D128" s="1878"/>
      <c r="K128" s="736"/>
      <c r="L128" s="736"/>
    </row>
    <row r="129" spans="1:12" s="881" customFormat="1" x14ac:dyDescent="0.2">
      <c r="A129" s="1877"/>
      <c r="D129" s="1878"/>
      <c r="K129" s="736"/>
      <c r="L129" s="736"/>
    </row>
    <row r="130" spans="1:12" s="881" customFormat="1" x14ac:dyDescent="0.2">
      <c r="A130" s="1877"/>
      <c r="D130" s="1878"/>
      <c r="K130" s="736"/>
      <c r="L130" s="736"/>
    </row>
    <row r="131" spans="1:12" s="881" customFormat="1" x14ac:dyDescent="0.2">
      <c r="A131" s="1877"/>
      <c r="D131" s="1878"/>
      <c r="K131" s="736"/>
      <c r="L131" s="736"/>
    </row>
    <row r="132" spans="1:12" s="881" customFormat="1" x14ac:dyDescent="0.2">
      <c r="A132" s="1877"/>
      <c r="D132" s="1878"/>
      <c r="K132" s="736"/>
      <c r="L132" s="736"/>
    </row>
    <row r="133" spans="1:12" s="881" customFormat="1" x14ac:dyDescent="0.2">
      <c r="A133" s="1877"/>
      <c r="D133" s="1878"/>
      <c r="K133" s="736"/>
      <c r="L133" s="736"/>
    </row>
    <row r="134" spans="1:12" s="1817" customFormat="1" x14ac:dyDescent="0.2">
      <c r="A134" s="1879"/>
      <c r="D134" s="1880"/>
      <c r="K134" s="27"/>
      <c r="L134" s="27"/>
    </row>
    <row r="135" spans="1:12" s="1817" customFormat="1" x14ac:dyDescent="0.2">
      <c r="A135" s="1879"/>
      <c r="D135" s="1880"/>
      <c r="K135" s="27"/>
      <c r="L135" s="27"/>
    </row>
    <row r="136" spans="1:12" s="1817" customFormat="1" x14ac:dyDescent="0.2">
      <c r="A136" s="1879"/>
      <c r="D136" s="1880"/>
      <c r="K136" s="27"/>
      <c r="L136" s="27"/>
    </row>
    <row r="137" spans="1:12" s="1817" customFormat="1" x14ac:dyDescent="0.2">
      <c r="A137" s="1879"/>
      <c r="D137" s="1880"/>
      <c r="K137" s="27"/>
      <c r="L137" s="27"/>
    </row>
    <row r="138" spans="1:12" s="1817" customFormat="1" x14ac:dyDescent="0.2">
      <c r="A138" s="1879"/>
      <c r="D138" s="1880"/>
      <c r="K138" s="27"/>
      <c r="L138" s="27"/>
    </row>
    <row r="139" spans="1:12" s="1817" customFormat="1" x14ac:dyDescent="0.2">
      <c r="A139" s="1879"/>
      <c r="D139" s="1880"/>
      <c r="K139" s="27"/>
      <c r="L139" s="27"/>
    </row>
    <row r="140" spans="1:12" s="1817" customFormat="1" x14ac:dyDescent="0.2">
      <c r="A140" s="1879"/>
      <c r="D140" s="1880"/>
      <c r="K140" s="27"/>
      <c r="L140" s="27"/>
    </row>
    <row r="141" spans="1:12" s="1817" customFormat="1" x14ac:dyDescent="0.2">
      <c r="A141" s="1879"/>
      <c r="D141" s="1880"/>
      <c r="K141" s="27"/>
      <c r="L141" s="27"/>
    </row>
    <row r="142" spans="1:12" s="1817" customFormat="1" x14ac:dyDescent="0.2">
      <c r="A142" s="1879"/>
      <c r="D142" s="1880"/>
      <c r="K142" s="27"/>
      <c r="L142" s="27"/>
    </row>
    <row r="143" spans="1:12" s="1817" customFormat="1" x14ac:dyDescent="0.2">
      <c r="A143" s="1879"/>
      <c r="D143" s="1880"/>
      <c r="K143" s="27"/>
      <c r="L143" s="27"/>
    </row>
    <row r="144" spans="1:12" s="1817" customFormat="1" x14ac:dyDescent="0.2">
      <c r="A144" s="1879"/>
      <c r="D144" s="1880"/>
      <c r="K144" s="27"/>
      <c r="L144" s="27"/>
    </row>
    <row r="145" spans="1:12" s="1817" customFormat="1" x14ac:dyDescent="0.2">
      <c r="A145" s="1879"/>
      <c r="D145" s="1880"/>
      <c r="K145" s="27"/>
      <c r="L145" s="27"/>
    </row>
    <row r="146" spans="1:12" s="1817" customFormat="1" x14ac:dyDescent="0.2">
      <c r="A146" s="1879"/>
      <c r="D146" s="1880"/>
      <c r="K146" s="27"/>
      <c r="L146" s="27"/>
    </row>
    <row r="147" spans="1:12" s="1817" customFormat="1" x14ac:dyDescent="0.2">
      <c r="A147" s="1879"/>
      <c r="D147" s="1880"/>
      <c r="K147" s="27"/>
      <c r="L147" s="27"/>
    </row>
    <row r="148" spans="1:12" s="1817" customFormat="1" x14ac:dyDescent="0.2">
      <c r="A148" s="1879"/>
      <c r="D148" s="1880"/>
      <c r="K148" s="27"/>
      <c r="L148" s="27"/>
    </row>
    <row r="149" spans="1:12" s="1817" customFormat="1" x14ac:dyDescent="0.2">
      <c r="A149" s="1879"/>
      <c r="D149" s="1880"/>
      <c r="K149" s="27"/>
      <c r="L149" s="27"/>
    </row>
    <row r="150" spans="1:12" s="1817" customFormat="1" x14ac:dyDescent="0.2">
      <c r="A150" s="1879"/>
      <c r="D150" s="1880"/>
      <c r="K150" s="27"/>
      <c r="L150" s="27"/>
    </row>
    <row r="151" spans="1:12" s="1817" customFormat="1" x14ac:dyDescent="0.2">
      <c r="A151" s="1879"/>
      <c r="D151" s="1880"/>
      <c r="K151" s="27"/>
      <c r="L151" s="27"/>
    </row>
    <row r="152" spans="1:12" s="1817" customFormat="1" x14ac:dyDescent="0.2">
      <c r="A152" s="1879"/>
      <c r="D152" s="1880"/>
      <c r="K152" s="27"/>
      <c r="L152" s="27"/>
    </row>
    <row r="153" spans="1:12" s="1817" customFormat="1" x14ac:dyDescent="0.2">
      <c r="A153" s="1879"/>
      <c r="D153" s="1880"/>
      <c r="K153" s="27"/>
      <c r="L153" s="27"/>
    </row>
    <row r="154" spans="1:12" s="1817" customFormat="1" x14ac:dyDescent="0.2">
      <c r="A154" s="1879"/>
      <c r="D154" s="1880"/>
      <c r="K154" s="27"/>
      <c r="L154" s="27"/>
    </row>
    <row r="155" spans="1:12" s="1817" customFormat="1" x14ac:dyDescent="0.2">
      <c r="A155" s="1879"/>
      <c r="D155" s="1880"/>
      <c r="K155" s="27"/>
      <c r="L155" s="27"/>
    </row>
    <row r="156" spans="1:12" s="1817" customFormat="1" x14ac:dyDescent="0.2">
      <c r="A156" s="1879"/>
      <c r="D156" s="1880"/>
      <c r="K156" s="27"/>
      <c r="L156" s="27"/>
    </row>
    <row r="157" spans="1:12" s="1817" customFormat="1" x14ac:dyDescent="0.2">
      <c r="A157" s="1879"/>
      <c r="D157" s="1880"/>
      <c r="K157" s="27"/>
      <c r="L157" s="27"/>
    </row>
    <row r="158" spans="1:12" s="1817" customFormat="1" x14ac:dyDescent="0.2">
      <c r="A158" s="1879"/>
      <c r="D158" s="1880"/>
      <c r="K158" s="27"/>
      <c r="L158" s="27"/>
    </row>
    <row r="159" spans="1:12" s="1817" customFormat="1" x14ac:dyDescent="0.2">
      <c r="A159" s="1879"/>
      <c r="D159" s="1880"/>
      <c r="K159" s="27"/>
      <c r="L159" s="27"/>
    </row>
    <row r="160" spans="1:12" s="1817" customFormat="1" x14ac:dyDescent="0.2">
      <c r="A160" s="1879"/>
      <c r="D160" s="1880"/>
      <c r="K160" s="27"/>
      <c r="L160" s="27"/>
    </row>
    <row r="161" spans="1:12" s="1817" customFormat="1" x14ac:dyDescent="0.2">
      <c r="A161" s="1879"/>
      <c r="D161" s="1880"/>
      <c r="K161" s="27"/>
      <c r="L161" s="27"/>
    </row>
    <row r="162" spans="1:12" s="1817" customFormat="1" x14ac:dyDescent="0.2">
      <c r="A162" s="1879"/>
      <c r="D162" s="1880"/>
      <c r="K162" s="27"/>
      <c r="L162" s="27"/>
    </row>
    <row r="163" spans="1:12" s="1817" customFormat="1" x14ac:dyDescent="0.2">
      <c r="A163" s="1879"/>
      <c r="D163" s="1880"/>
      <c r="K163" s="27"/>
      <c r="L163" s="27"/>
    </row>
    <row r="164" spans="1:12" s="1817" customFormat="1" x14ac:dyDescent="0.2">
      <c r="A164" s="1879"/>
      <c r="D164" s="1880"/>
      <c r="K164" s="27"/>
      <c r="L164" s="27"/>
    </row>
    <row r="165" spans="1:12" s="1817" customFormat="1" x14ac:dyDescent="0.2">
      <c r="A165" s="1879"/>
      <c r="D165" s="1880"/>
      <c r="K165" s="27"/>
      <c r="L165" s="27"/>
    </row>
    <row r="166" spans="1:12" s="1817" customFormat="1" x14ac:dyDescent="0.2">
      <c r="A166" s="1879"/>
      <c r="D166" s="1880"/>
      <c r="K166" s="27"/>
      <c r="L166" s="27"/>
    </row>
    <row r="167" spans="1:12" s="1817" customFormat="1" x14ac:dyDescent="0.2">
      <c r="A167" s="1879"/>
      <c r="D167" s="1880"/>
      <c r="K167" s="27"/>
      <c r="L167" s="27"/>
    </row>
    <row r="168" spans="1:12" s="1817" customFormat="1" x14ac:dyDescent="0.2">
      <c r="A168" s="1879"/>
      <c r="D168" s="1880"/>
      <c r="K168" s="27"/>
      <c r="L168" s="27"/>
    </row>
    <row r="169" spans="1:12" s="1817" customFormat="1" x14ac:dyDescent="0.2">
      <c r="A169" s="1879"/>
      <c r="D169" s="1880"/>
      <c r="K169" s="27"/>
      <c r="L169" s="27"/>
    </row>
    <row r="170" spans="1:12" s="1817" customFormat="1" x14ac:dyDescent="0.2">
      <c r="A170" s="1879"/>
      <c r="D170" s="1880"/>
      <c r="K170" s="27"/>
      <c r="L170" s="27"/>
    </row>
    <row r="171" spans="1:12" s="1817" customFormat="1" x14ac:dyDescent="0.2">
      <c r="A171" s="1879"/>
      <c r="D171" s="1880"/>
      <c r="K171" s="27"/>
      <c r="L171" s="27"/>
    </row>
    <row r="172" spans="1:12" s="1817" customFormat="1" x14ac:dyDescent="0.2">
      <c r="A172" s="1879"/>
      <c r="D172" s="1880"/>
      <c r="K172" s="27"/>
      <c r="L172" s="27"/>
    </row>
    <row r="173" spans="1:12" s="1817" customFormat="1" x14ac:dyDescent="0.2">
      <c r="A173" s="1879"/>
      <c r="D173" s="1880"/>
      <c r="K173" s="27"/>
      <c r="L173" s="27"/>
    </row>
    <row r="174" spans="1:12" s="1817" customFormat="1" x14ac:dyDescent="0.2">
      <c r="A174" s="1879"/>
      <c r="D174" s="1880"/>
      <c r="K174" s="27"/>
      <c r="L174" s="27"/>
    </row>
  </sheetData>
  <sheetProtection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J512"/>
  <sheetViews>
    <sheetView view="pageBreakPreview" zoomScaleSheetLayoutView="100" zoomScalePageLayoutView="80" workbookViewId="0">
      <selection activeCell="F21" sqref="F21"/>
    </sheetView>
  </sheetViews>
  <sheetFormatPr baseColWidth="10" defaultColWidth="12.6640625" defaultRowHeight="21.75" customHeight="1" x14ac:dyDescent="0.2"/>
  <cols>
    <col min="1" max="2" width="12.6640625" style="1889"/>
    <col min="3" max="3" width="12.6640625" style="1889" customWidth="1"/>
    <col min="4" max="4" width="15.6640625" style="1889" customWidth="1"/>
    <col min="5" max="9" width="12.6640625" style="1889"/>
    <col min="10" max="11" width="12.6640625" style="733" customWidth="1"/>
    <col min="12" max="12" width="12.6640625" style="733"/>
    <col min="13" max="13" width="14.1640625" style="733" bestFit="1" customWidth="1"/>
    <col min="14" max="26" width="12.6640625" style="733"/>
    <col min="27" max="35" width="12.6640625" style="1888"/>
    <col min="36" max="16384" width="12.6640625" style="1889"/>
  </cols>
  <sheetData>
    <row r="1" spans="1:12" ht="21.75" customHeight="1" thickBot="1" x14ac:dyDescent="0.25">
      <c r="A1" s="1772" t="s">
        <v>1707</v>
      </c>
      <c r="B1" s="1883"/>
      <c r="C1" s="1884" t="s">
        <v>4711</v>
      </c>
      <c r="D1" s="1883"/>
      <c r="E1" s="1883"/>
      <c r="F1" s="1885" t="s">
        <v>1708</v>
      </c>
      <c r="G1" s="1696" t="s">
        <v>4719</v>
      </c>
      <c r="H1" s="1886" t="str">
        <f>IF(G1="现房","——","估价对象范围")</f>
        <v>估价对象范围</v>
      </c>
      <c r="I1" s="1887" t="s">
        <v>4720</v>
      </c>
    </row>
    <row r="2" spans="1:12" ht="21.75" customHeight="1" thickBot="1" x14ac:dyDescent="0.25">
      <c r="A2" s="3569" t="str">
        <f>项目基本情况!S2</f>
        <v>北京市房地产</v>
      </c>
      <c r="B2" s="3570"/>
      <c r="C2" s="3570"/>
      <c r="D2" s="3570"/>
      <c r="E2" s="3570"/>
      <c r="F2" s="3570"/>
      <c r="G2" s="3570"/>
      <c r="H2" s="3570"/>
      <c r="I2" s="3571"/>
    </row>
    <row r="3" spans="1:12" ht="14" x14ac:dyDescent="0.2">
      <c r="A3" s="3573" t="s">
        <v>1709</v>
      </c>
      <c r="B3" s="3574"/>
      <c r="C3" s="3574"/>
      <c r="D3" s="3574"/>
      <c r="E3" s="3574"/>
      <c r="F3" s="3574"/>
      <c r="G3" s="3574"/>
      <c r="H3" s="3574"/>
      <c r="I3" s="3574"/>
    </row>
    <row r="4" spans="1:12" ht="14" x14ac:dyDescent="0.2">
      <c r="A4" s="1890" t="s">
        <v>1710</v>
      </c>
      <c r="B4" s="1891" t="s">
        <v>1711</v>
      </c>
      <c r="C4" s="1892" t="s">
        <v>4488</v>
      </c>
      <c r="D4" s="1892" t="s">
        <v>4490</v>
      </c>
      <c r="E4" s="3575" t="s">
        <v>1712</v>
      </c>
      <c r="F4" s="3576"/>
      <c r="G4" s="3576"/>
      <c r="H4" s="3576"/>
      <c r="I4" s="3577"/>
      <c r="K4" s="151" t="str">
        <f>IF(ISNUMBER(FIND("比较法",'结果表-商业'!C4)),"比较法",IF(ISNUMBER(FIND("成本法",'结果表-商业'!C4)),"成本法",IF(ISNUMBER(FIND("假设开发法",'结果表-商业'!C4)),"假设开发法",IF(ISNUMBER(FIND("收益法",'结果表-商业'!C4)),"收益法","基准地价系数修正法"))))</f>
        <v>收益法</v>
      </c>
      <c r="L4" s="151" t="str">
        <f>IF(ISNUMBER(FIND("比较法",'结果表-商业'!D4)),"比较法",IF(ISNUMBER(FIND("成本法",'结果表-商业'!D4)),"成本法",IF(ISNUMBER(FIND("假设开发法",'结果表-商业'!D4)),"假设开发法",IF(ISNUMBER(FIND("收益法",'结果表-商业'!D4)),"收益法","基准地价系数修正法"))))</f>
        <v>成本法</v>
      </c>
    </row>
    <row r="5" spans="1:12" ht="14" x14ac:dyDescent="0.2">
      <c r="A5" s="3549" t="s">
        <v>1713</v>
      </c>
      <c r="B5" s="3536">
        <v>25</v>
      </c>
      <c r="C5" s="3552">
        <v>30</v>
      </c>
      <c r="D5" s="3572">
        <f>100-C5</f>
        <v>70</v>
      </c>
      <c r="E5" s="136" t="s">
        <v>1714</v>
      </c>
      <c r="F5" s="1893"/>
      <c r="G5" s="1893"/>
      <c r="H5" s="1893"/>
      <c r="I5" s="1507"/>
    </row>
    <row r="6" spans="1:12" ht="14" x14ac:dyDescent="0.2">
      <c r="A6" s="3549"/>
      <c r="B6" s="3536"/>
      <c r="C6" s="3553"/>
      <c r="D6" s="3572"/>
      <c r="E6" s="136" t="s">
        <v>1715</v>
      </c>
      <c r="F6" s="1893"/>
      <c r="G6" s="1893"/>
      <c r="H6" s="1893"/>
      <c r="I6" s="1507"/>
    </row>
    <row r="7" spans="1:12" ht="14" x14ac:dyDescent="0.2">
      <c r="A7" s="3549"/>
      <c r="B7" s="3536"/>
      <c r="C7" s="3554"/>
      <c r="D7" s="3572"/>
      <c r="E7" s="136" t="s">
        <v>1716</v>
      </c>
      <c r="F7" s="1893"/>
      <c r="G7" s="1893"/>
      <c r="H7" s="1893"/>
      <c r="I7" s="1507"/>
    </row>
    <row r="8" spans="1:12" ht="14" x14ac:dyDescent="0.2">
      <c r="A8" s="3549" t="s">
        <v>1717</v>
      </c>
      <c r="B8" s="3536">
        <v>15</v>
      </c>
      <c r="C8" s="3552"/>
      <c r="D8" s="3572"/>
      <c r="E8" s="136" t="s">
        <v>1718</v>
      </c>
      <c r="F8" s="1893"/>
      <c r="G8" s="1893"/>
      <c r="H8" s="1893"/>
      <c r="I8" s="1507"/>
    </row>
    <row r="9" spans="1:12" ht="14" x14ac:dyDescent="0.2">
      <c r="A9" s="3549"/>
      <c r="B9" s="3536"/>
      <c r="C9" s="3554"/>
      <c r="D9" s="3572"/>
      <c r="E9" s="136" t="s">
        <v>1719</v>
      </c>
      <c r="F9" s="1893"/>
      <c r="G9" s="1893"/>
      <c r="H9" s="1893"/>
      <c r="I9" s="1507"/>
    </row>
    <row r="10" spans="1:12" ht="14" x14ac:dyDescent="0.2">
      <c r="A10" s="3549" t="s">
        <v>1720</v>
      </c>
      <c r="B10" s="3536">
        <v>15</v>
      </c>
      <c r="C10" s="3552"/>
      <c r="D10" s="3572"/>
      <c r="E10" s="136" t="s">
        <v>1721</v>
      </c>
      <c r="F10" s="1893"/>
      <c r="G10" s="1893"/>
      <c r="H10" s="1893"/>
      <c r="I10" s="1507"/>
    </row>
    <row r="11" spans="1:12" ht="14" x14ac:dyDescent="0.2">
      <c r="A11" s="3549"/>
      <c r="B11" s="3536"/>
      <c r="C11" s="3554"/>
      <c r="D11" s="3572"/>
      <c r="E11" s="136" t="s">
        <v>1722</v>
      </c>
      <c r="F11" s="1893"/>
      <c r="G11" s="1893"/>
      <c r="H11" s="1893"/>
      <c r="I11" s="1507"/>
    </row>
    <row r="12" spans="1:12" ht="14" x14ac:dyDescent="0.2">
      <c r="A12" s="3549" t="s">
        <v>1723</v>
      </c>
      <c r="B12" s="3536">
        <v>15</v>
      </c>
      <c r="C12" s="3552"/>
      <c r="D12" s="3572"/>
      <c r="E12" s="136" t="s">
        <v>1724</v>
      </c>
      <c r="F12" s="1893"/>
      <c r="G12" s="1893"/>
      <c r="H12" s="1893"/>
      <c r="I12" s="1507"/>
    </row>
    <row r="13" spans="1:12" ht="14" x14ac:dyDescent="0.2">
      <c r="A13" s="3549"/>
      <c r="B13" s="3536"/>
      <c r="C13" s="3554"/>
      <c r="D13" s="3572"/>
      <c r="E13" s="136" t="s">
        <v>1725</v>
      </c>
      <c r="F13" s="1893"/>
      <c r="G13" s="1893"/>
      <c r="H13" s="1893"/>
      <c r="I13" s="1507"/>
    </row>
    <row r="14" spans="1:12" ht="14" x14ac:dyDescent="0.2">
      <c r="A14" s="3549" t="s">
        <v>1726</v>
      </c>
      <c r="B14" s="3536">
        <v>30</v>
      </c>
      <c r="C14" s="3552"/>
      <c r="D14" s="3572"/>
      <c r="E14" s="136" t="s">
        <v>1727</v>
      </c>
      <c r="F14" s="1893"/>
      <c r="G14" s="1893"/>
      <c r="H14" s="1893"/>
      <c r="I14" s="1507"/>
    </row>
    <row r="15" spans="1:12" ht="14" x14ac:dyDescent="0.2">
      <c r="A15" s="3549"/>
      <c r="B15" s="3536"/>
      <c r="C15" s="3553"/>
      <c r="D15" s="3572"/>
      <c r="E15" s="136" t="s">
        <v>1728</v>
      </c>
      <c r="F15" s="1893"/>
      <c r="G15" s="1893"/>
      <c r="H15" s="1893"/>
      <c r="I15" s="1507"/>
    </row>
    <row r="16" spans="1:12" ht="14" x14ac:dyDescent="0.2">
      <c r="A16" s="3549"/>
      <c r="B16" s="3536"/>
      <c r="C16" s="3554"/>
      <c r="D16" s="3572"/>
      <c r="E16" s="136" t="s">
        <v>1729</v>
      </c>
      <c r="F16" s="1893"/>
      <c r="G16" s="1893"/>
      <c r="H16" s="1893"/>
      <c r="I16" s="1507"/>
    </row>
    <row r="17" spans="1:36" ht="14" x14ac:dyDescent="0.2">
      <c r="A17" s="1894" t="s">
        <v>1730</v>
      </c>
      <c r="B17" s="60"/>
      <c r="C17" s="137">
        <f>SUM(C5:C16)</f>
        <v>30</v>
      </c>
      <c r="D17" s="137">
        <f>SUM(D5:D16)</f>
        <v>70</v>
      </c>
      <c r="E17" s="134"/>
      <c r="F17" s="134"/>
      <c r="G17" s="134"/>
      <c r="H17" s="134"/>
      <c r="I17" s="134"/>
      <c r="K17" s="308"/>
      <c r="L17" s="308" t="s">
        <v>1731</v>
      </c>
      <c r="M17" s="308" t="s">
        <v>1732</v>
      </c>
    </row>
    <row r="18" spans="1:36" ht="32" customHeight="1" thickBot="1" x14ac:dyDescent="0.25">
      <c r="A18" s="1895" t="s">
        <v>1733</v>
      </c>
      <c r="B18" s="1896"/>
      <c r="C18" s="138">
        <f>ROUND(C17/SUM(C17:D17),2)</f>
        <v>0.3</v>
      </c>
      <c r="D18" s="138">
        <f>1-C18</f>
        <v>0.7</v>
      </c>
      <c r="E18" s="3559" t="s">
        <v>2632</v>
      </c>
      <c r="F18" s="3560"/>
      <c r="G18" s="3560"/>
      <c r="H18" s="3560"/>
      <c r="I18" s="3560"/>
      <c r="K18" s="308" t="s">
        <v>1734</v>
      </c>
      <c r="L18" s="308">
        <f>IF(C1="",'数据-汇总表'!E3,SUMIF(项目类型,C1,'数据-汇总表'!E17:E26)+SUMIF(项目类型,C1,'数据-汇总表'!I17:I26))</f>
        <v>58.81</v>
      </c>
      <c r="M18" s="308">
        <f>IF(C1="",'数据-汇总表'!E3,SUMIF(项目类型,C1,'数据-汇总表'!E17:E26))</f>
        <v>58.81</v>
      </c>
    </row>
    <row r="19" spans="1:36" ht="14" x14ac:dyDescent="0.2">
      <c r="A19" s="1897" t="s">
        <v>1735</v>
      </c>
      <c r="B19" s="1898" t="s">
        <v>1736</v>
      </c>
      <c r="C19" s="139">
        <f ca="1">SUMIF(INDIRECT("'"&amp;C4&amp;"'"&amp;"!A:A"),'结果表-商业'!B19,INDIRECT("'"&amp;C4&amp;"'"&amp;"!B:B"))</f>
        <v>265</v>
      </c>
      <c r="D19" s="140">
        <f ca="1">SUMIF(INDIRECT("'"&amp;D4&amp;"'"&amp;"!A:A"),'结果表-商业'!B19,INDIRECT("'"&amp;D4&amp;"'"&amp;"!B:B"))</f>
        <v>331</v>
      </c>
      <c r="E19" s="1897" t="s">
        <v>1737</v>
      </c>
      <c r="F19" s="1898" t="s">
        <v>1736</v>
      </c>
      <c r="G19" s="141">
        <f ca="1">ROUND(C19*$C$18+D19*$D$18,0)</f>
        <v>311</v>
      </c>
      <c r="H19" s="1899" t="s">
        <v>1738</v>
      </c>
      <c r="I19" s="134"/>
      <c r="K19" s="308" t="s">
        <v>1739</v>
      </c>
      <c r="L19" s="308">
        <f>IF(C1="",'数据-汇总表'!D3,SUMIF(项目类型,C1,'数据-汇总表'!D17:D26)+SUMIF(项目类型,C1,'数据-汇总表'!H17:H27))</f>
        <v>0</v>
      </c>
      <c r="M19" s="308">
        <f>IF(C1="",'数据-汇总表'!D3,SUMIF(项目类型,C1,'数据-汇总表'!D17:D26))</f>
        <v>0</v>
      </c>
    </row>
    <row r="20" spans="1:36" ht="14" x14ac:dyDescent="0.2">
      <c r="A20" s="1900"/>
      <c r="B20" s="1137" t="s">
        <v>1740</v>
      </c>
      <c r="C20" s="142">
        <f ca="1">SUMIF(INDIRECT("'"&amp;C4&amp;"'"&amp;"!A:A"),'结果表-商业'!B20,INDIRECT("'"&amp;C4&amp;"'"&amp;"!B:B"))</f>
        <v>45060</v>
      </c>
      <c r="D20" s="143">
        <f ca="1">SUMIF(INDIRECT("'"&amp;D4&amp;"'"&amp;"!A:A"),'结果表-商业'!B20,INDIRECT("'"&amp;D4&amp;"'"&amp;"!B:B"))</f>
        <v>56283</v>
      </c>
      <c r="E20" s="1900"/>
      <c r="F20" s="1137" t="s">
        <v>1740</v>
      </c>
      <c r="G20" s="144">
        <f ca="1">ROUND(C20*$C$18+D20*$D$18,0)</f>
        <v>52916</v>
      </c>
      <c r="H20" s="897" t="s">
        <v>1741</v>
      </c>
      <c r="I20" s="134"/>
    </row>
    <row r="21" spans="1:36" ht="15" customHeight="1" thickBot="1" x14ac:dyDescent="0.25">
      <c r="A21" s="917"/>
      <c r="B21" s="1901" t="s">
        <v>1742</v>
      </c>
      <c r="C21" s="727" t="e">
        <f ca="1">ROUND(C19*10000/L19,0)</f>
        <v>#DIV/0!</v>
      </c>
      <c r="D21" s="728" t="e">
        <f ca="1">ROUND(D19*10000/L19,0)</f>
        <v>#DIV/0!</v>
      </c>
      <c r="E21" s="917"/>
      <c r="F21" s="1901" t="s">
        <v>1742</v>
      </c>
      <c r="G21" s="145" t="e">
        <f ca="1">ROUND(G19*10000/L19,0)</f>
        <v>#DIV/0!</v>
      </c>
      <c r="H21" s="1902" t="s">
        <v>1741</v>
      </c>
      <c r="I21" s="134"/>
    </row>
    <row r="22" spans="1:36" ht="15" thickBot="1" x14ac:dyDescent="0.25">
      <c r="A22" s="1824" t="s">
        <v>1743</v>
      </c>
      <c r="B22" s="1903"/>
      <c r="C22" s="1904"/>
      <c r="D22" s="729">
        <f ca="1">IF(C19&lt;D19,D19/C19-1,C19/D19-1)</f>
        <v>0.24905660377358485</v>
      </c>
      <c r="E22" s="134"/>
      <c r="F22" s="134"/>
      <c r="G22" s="134"/>
      <c r="H22" s="134"/>
      <c r="I22" s="134"/>
    </row>
    <row r="23" spans="1:36" ht="14" thickBot="1" x14ac:dyDescent="0.25">
      <c r="A23" s="1883"/>
      <c r="B23" s="1883"/>
      <c r="C23" s="1883"/>
      <c r="D23" s="1883"/>
      <c r="E23" s="134"/>
      <c r="F23" s="134"/>
      <c r="G23" s="134"/>
      <c r="H23" s="134"/>
      <c r="I23" s="134"/>
    </row>
    <row r="24" spans="1:36" ht="14" x14ac:dyDescent="0.2">
      <c r="A24" s="3543" t="s">
        <v>1744</v>
      </c>
      <c r="B24" s="1898" t="s">
        <v>1736</v>
      </c>
      <c r="C24" s="141">
        <f>IF(B30=0,0,D30)</f>
        <v>0</v>
      </c>
      <c r="D24" s="1905"/>
      <c r="E24" s="134"/>
      <c r="F24" s="134"/>
      <c r="G24" s="134"/>
      <c r="H24" s="134"/>
      <c r="I24" s="134"/>
    </row>
    <row r="25" spans="1:36" ht="14" x14ac:dyDescent="0.2">
      <c r="A25" s="3544"/>
      <c r="B25" s="1137" t="s">
        <v>1740</v>
      </c>
      <c r="C25" s="146">
        <f>IF(B30=0,0,C30)</f>
        <v>0</v>
      </c>
      <c r="D25" s="1906"/>
      <c r="E25" s="134"/>
      <c r="F25" s="134"/>
      <c r="G25" s="134"/>
      <c r="H25" s="134"/>
      <c r="I25" s="134"/>
    </row>
    <row r="26" spans="1:36" ht="13.5" customHeight="1" x14ac:dyDescent="0.2">
      <c r="A26" s="1907" t="s">
        <v>1745</v>
      </c>
      <c r="B26" s="147" t="s">
        <v>1746</v>
      </c>
      <c r="C26" s="147" t="s">
        <v>1747</v>
      </c>
      <c r="D26" s="148" t="s">
        <v>1748</v>
      </c>
      <c r="E26" s="134"/>
      <c r="F26" s="134"/>
      <c r="G26" s="134"/>
      <c r="H26" s="134"/>
      <c r="I26" s="134"/>
    </row>
    <row r="27" spans="1:36" ht="14" x14ac:dyDescent="0.2">
      <c r="A27" s="1907"/>
      <c r="B27" s="147">
        <v>0</v>
      </c>
      <c r="C27" s="147">
        <v>0</v>
      </c>
      <c r="D27" s="148">
        <f>ROUND(C27*B27/10000,0)</f>
        <v>0</v>
      </c>
      <c r="E27" s="134"/>
      <c r="F27" s="134"/>
      <c r="G27" s="134"/>
      <c r="H27" s="134"/>
      <c r="I27" s="134"/>
    </row>
    <row r="28" spans="1:36" ht="14" x14ac:dyDescent="0.2">
      <c r="A28" s="1907"/>
      <c r="B28" s="147"/>
      <c r="C28" s="147"/>
      <c r="D28" s="148"/>
      <c r="E28" s="134"/>
      <c r="F28" s="134"/>
      <c r="G28" s="134"/>
      <c r="H28" s="134"/>
      <c r="I28" s="134"/>
    </row>
    <row r="29" spans="1:36" ht="14" x14ac:dyDescent="0.2">
      <c r="A29" s="1907"/>
      <c r="B29" s="147"/>
      <c r="C29" s="147"/>
      <c r="D29" s="148"/>
      <c r="E29" s="134"/>
      <c r="F29" s="134"/>
      <c r="G29" s="134"/>
      <c r="H29" s="134"/>
      <c r="I29" s="134"/>
    </row>
    <row r="30" spans="1:36" ht="15" thickBot="1" x14ac:dyDescent="0.25">
      <c r="A30" s="147" t="s">
        <v>1749</v>
      </c>
      <c r="B30" s="147"/>
      <c r="C30" s="147"/>
      <c r="D30" s="147"/>
      <c r="E30" s="2471" t="s">
        <v>2633</v>
      </c>
      <c r="F30" s="134"/>
      <c r="G30" s="134"/>
      <c r="H30" s="134"/>
      <c r="I30" s="134"/>
    </row>
    <row r="31" spans="1:36" s="2477" customFormat="1" ht="26.5" customHeight="1" thickTop="1" thickBot="1" x14ac:dyDescent="0.25">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 thickTop="1" thickBot="1" x14ac:dyDescent="0.25">
      <c r="A32" s="1909" t="s">
        <v>1750</v>
      </c>
      <c r="B32" s="1910"/>
      <c r="C32" s="149">
        <f ca="1">IF(D32="总价",G19-C24,G20-C25)</f>
        <v>52916</v>
      </c>
      <c r="D32" s="1911"/>
      <c r="E32" s="134"/>
      <c r="F32" s="134"/>
      <c r="G32" s="134"/>
      <c r="H32" s="134"/>
      <c r="I32" s="134"/>
    </row>
    <row r="33" spans="1:15" ht="14" x14ac:dyDescent="0.2">
      <c r="A33" s="874" t="s">
        <v>1751</v>
      </c>
      <c r="B33" s="1912"/>
      <c r="C33" s="1913"/>
      <c r="D33" s="1914"/>
      <c r="E33" s="1915" t="s">
        <v>1752</v>
      </c>
      <c r="F33" s="1916" t="str">
        <f>IF(D32="楼面单价","取值（单价）","取值（总价）")</f>
        <v>取值（总价）</v>
      </c>
      <c r="G33" s="134"/>
      <c r="H33" s="134"/>
      <c r="I33" s="134"/>
    </row>
    <row r="34" spans="1:15" ht="14" x14ac:dyDescent="0.2">
      <c r="A34" s="1917"/>
      <c r="B34" s="1918" t="s">
        <v>1753</v>
      </c>
      <c r="C34" s="153" t="e">
        <f ca="1">IF(C33="自定义",F34,C32-C35)</f>
        <v>#REF!</v>
      </c>
      <c r="D34" s="950" t="e">
        <f ca="1">IF(C33="自定义",ROUND(C34/C32,3),IF(C33="收益比率",SUMIF(INDIRECT("'"&amp;D33&amp;"'"&amp;"!b:b"),"土地收益比率",INDIRECT("'"&amp;D33&amp;"'"&amp;"!c:c")),SUMIF(INDIRECT("'"&amp;D33&amp;"'"&amp;"!b:b"),"土地成本比率",INDIRECT("'"&amp;D33&amp;"'"&amp;"!c:c"))))</f>
        <v>#REF!</v>
      </c>
      <c r="E34" s="1919" t="s">
        <v>1754</v>
      </c>
      <c r="F34" s="1450"/>
      <c r="G34" s="134"/>
      <c r="H34" s="134"/>
      <c r="I34" s="134"/>
    </row>
    <row r="35" spans="1:15" ht="15" thickBot="1" x14ac:dyDescent="0.25">
      <c r="A35" s="1920"/>
      <c r="B35" s="1921" t="s">
        <v>1755</v>
      </c>
      <c r="C35" s="1284" t="e">
        <f ca="1">IF(C33="自定义",F35,ROUND(C32*D35,0))</f>
        <v>#REF!</v>
      </c>
      <c r="D35" s="1285"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 thickBot="1" x14ac:dyDescent="0.25">
      <c r="A36" s="3563" t="s">
        <v>1757</v>
      </c>
      <c r="B36" s="1923" t="s">
        <v>1758</v>
      </c>
      <c r="C36" s="150"/>
      <c r="D36" s="1924"/>
      <c r="E36" s="1925"/>
      <c r="F36" s="1926"/>
      <c r="G36" s="134"/>
      <c r="H36" s="134"/>
      <c r="I36" s="134"/>
    </row>
    <row r="37" spans="1:15" ht="15" thickBot="1" x14ac:dyDescent="0.25">
      <c r="A37" s="3564"/>
      <c r="B37" s="1810" t="s">
        <v>1759</v>
      </c>
      <c r="C37" s="152"/>
      <c r="D37" s="1253"/>
      <c r="E37" s="1253"/>
      <c r="F37" s="1926"/>
      <c r="G37" s="134"/>
      <c r="H37" s="134"/>
      <c r="I37" s="134"/>
    </row>
    <row r="38" spans="1:15" ht="15" thickBot="1" x14ac:dyDescent="0.25">
      <c r="A38" s="3565"/>
      <c r="B38" s="1927" t="s">
        <v>1760</v>
      </c>
      <c r="C38" s="682"/>
      <c r="D38" s="1928" t="s">
        <v>1761</v>
      </c>
      <c r="E38" s="1253"/>
      <c r="F38" s="1926"/>
      <c r="G38" s="134"/>
      <c r="H38" s="134"/>
      <c r="I38" s="134"/>
    </row>
    <row r="39" spans="1:15" ht="14" x14ac:dyDescent="0.2">
      <c r="A39" s="1900" t="s">
        <v>1762</v>
      </c>
      <c r="B39" s="1929" t="s">
        <v>1763</v>
      </c>
      <c r="C39" s="1930" t="s">
        <v>1764</v>
      </c>
      <c r="D39" s="1930" t="s">
        <v>1765</v>
      </c>
      <c r="E39" s="1931" t="s">
        <v>1766</v>
      </c>
      <c r="F39" s="1926"/>
      <c r="G39" s="134"/>
      <c r="H39" s="134"/>
      <c r="I39" s="134"/>
    </row>
    <row r="40" spans="1:15" ht="14" x14ac:dyDescent="0.2">
      <c r="A40" s="1932" t="s">
        <v>1767</v>
      </c>
      <c r="B40" s="154"/>
      <c r="C40" s="155"/>
      <c r="D40" s="155"/>
      <c r="E40" s="156"/>
      <c r="F40" s="1926"/>
      <c r="G40" s="134"/>
      <c r="H40" s="134"/>
      <c r="I40" s="134"/>
    </row>
    <row r="41" spans="1:15" ht="14" x14ac:dyDescent="0.2">
      <c r="A41" s="1932" t="s">
        <v>1768</v>
      </c>
      <c r="B41" s="154"/>
      <c r="C41" s="155"/>
      <c r="D41" s="155"/>
      <c r="E41" s="156"/>
      <c r="F41" s="1926"/>
      <c r="G41" s="134"/>
      <c r="H41" s="134"/>
      <c r="I41" s="134"/>
    </row>
    <row r="42" spans="1:15" ht="15" thickBot="1" x14ac:dyDescent="0.25">
      <c r="A42" s="1933"/>
      <c r="B42" s="157"/>
      <c r="C42" s="158"/>
      <c r="D42" s="158"/>
      <c r="E42" s="159"/>
      <c r="F42" s="1926"/>
      <c r="G42" s="134"/>
      <c r="H42" s="134"/>
      <c r="I42" s="134"/>
    </row>
    <row r="43" spans="1:15" ht="13" x14ac:dyDescent="0.2">
      <c r="A43" s="1712"/>
      <c r="B43" s="1712"/>
      <c r="C43" s="1712"/>
      <c r="D43" s="1712"/>
      <c r="E43" s="1712"/>
      <c r="F43" s="1934"/>
      <c r="G43" s="1934"/>
      <c r="H43" s="1934"/>
      <c r="I43" s="1935"/>
    </row>
    <row r="44" spans="1:15" ht="18" x14ac:dyDescent="0.2">
      <c r="A44" s="1936" t="s">
        <v>1769</v>
      </c>
      <c r="B44" s="1937"/>
      <c r="C44" s="1937"/>
      <c r="D44" s="1938"/>
      <c r="E44" s="1938"/>
      <c r="F44" s="1939"/>
      <c r="G44" s="1939"/>
      <c r="H44" s="1939"/>
      <c r="I44" s="1939"/>
      <c r="J44" s="1940" t="s">
        <v>1770</v>
      </c>
      <c r="K44" s="1941"/>
      <c r="L44" s="1941"/>
      <c r="M44" s="1941"/>
      <c r="N44" s="1941"/>
      <c r="O44" s="1941"/>
    </row>
    <row r="45" spans="1:15" ht="14.25" customHeight="1" thickBot="1" x14ac:dyDescent="0.25">
      <c r="A45" s="3540" t="s">
        <v>1771</v>
      </c>
      <c r="B45" s="3541"/>
      <c r="C45" s="3542"/>
      <c r="D45" s="160" t="e">
        <f ca="1">ROUND(H101*F45,0)</f>
        <v>#REF!</v>
      </c>
      <c r="E45" s="161" t="s">
        <v>1772</v>
      </c>
      <c r="F45" s="162">
        <v>1</v>
      </c>
      <c r="G45" s="163" t="s">
        <v>1773</v>
      </c>
      <c r="H45" s="134"/>
      <c r="I45" s="134"/>
      <c r="J45" s="3621" t="s">
        <v>1774</v>
      </c>
      <c r="K45" s="3621"/>
      <c r="L45" s="3621"/>
      <c r="M45" s="3621"/>
      <c r="N45" s="3621"/>
      <c r="O45" s="3621"/>
    </row>
    <row r="46" spans="1:15" ht="14.25" customHeight="1" x14ac:dyDescent="0.2">
      <c r="A46" s="3537" t="s">
        <v>1775</v>
      </c>
      <c r="B46" s="3538"/>
      <c r="C46" s="3538"/>
      <c r="D46" s="3538"/>
      <c r="E46" s="3538"/>
      <c r="F46" s="3538"/>
      <c r="G46" s="3539"/>
      <c r="H46" s="1942"/>
      <c r="I46" s="164"/>
      <c r="J46" s="2698">
        <v>1</v>
      </c>
      <c r="K46" s="3602" t="s">
        <v>1776</v>
      </c>
      <c r="L46" s="3602"/>
      <c r="M46" s="3622"/>
      <c r="N46" s="3622"/>
      <c r="O46" s="3622"/>
    </row>
    <row r="47" spans="1:15" ht="12" customHeight="1" x14ac:dyDescent="0.2">
      <c r="A47" s="165" t="s">
        <v>1777</v>
      </c>
      <c r="B47" s="166"/>
      <c r="C47" s="167"/>
      <c r="D47" s="1199" t="s">
        <v>1778</v>
      </c>
      <c r="E47" s="308" t="s">
        <v>1779</v>
      </c>
      <c r="F47" s="168" t="s">
        <v>1780</v>
      </c>
      <c r="G47" s="2721" t="s">
        <v>1781</v>
      </c>
      <c r="H47" s="2722"/>
      <c r="I47" s="164"/>
      <c r="J47" s="2698">
        <v>2</v>
      </c>
      <c r="K47" s="3602" t="s">
        <v>1782</v>
      </c>
      <c r="L47" s="3602"/>
      <c r="M47" s="3623">
        <f>'数据-取费表'!B2</f>
        <v>44868</v>
      </c>
      <c r="N47" s="3623"/>
      <c r="O47" s="3623"/>
    </row>
    <row r="48" spans="1:15" ht="28" x14ac:dyDescent="0.2">
      <c r="A48" s="3568" t="s">
        <v>1783</v>
      </c>
      <c r="B48" s="3551"/>
      <c r="C48" s="3551"/>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602" t="s">
        <v>1785</v>
      </c>
      <c r="L48" s="3602"/>
      <c r="M48" s="3624" t="e">
        <f ca="1">H101</f>
        <v>#REF!</v>
      </c>
      <c r="N48" s="3624"/>
      <c r="O48" s="3624"/>
    </row>
    <row r="49" spans="1:35" ht="25.5" customHeight="1" x14ac:dyDescent="0.2">
      <c r="A49" s="2506" t="s">
        <v>1786</v>
      </c>
      <c r="B49" s="3535" t="s">
        <v>1787</v>
      </c>
      <c r="C49" s="3535"/>
      <c r="D49" s="1725">
        <v>0</v>
      </c>
      <c r="E49" s="330" t="s">
        <v>1788</v>
      </c>
      <c r="F49" s="2599" t="s">
        <v>34</v>
      </c>
      <c r="G49" s="3608"/>
      <c r="H49" s="2478" t="s">
        <v>2635</v>
      </c>
      <c r="I49" s="2479"/>
      <c r="J49" s="2698">
        <v>4</v>
      </c>
      <c r="K49" s="3602" t="str">
        <f>IF(项目基本情况!E8="房地产抵押价值","房地产抵押价值","抵押担保权已注销时的房地产抵押价值")</f>
        <v>抵押担保权已注销时的房地产抵押价值</v>
      </c>
      <c r="L49" s="3602"/>
      <c r="M49" s="3624" t="str">
        <f>IF(项目基本情况!E8="房地产抵押价值",H107,H109)</f>
        <v>——</v>
      </c>
      <c r="N49" s="3624"/>
      <c r="O49" s="3624"/>
    </row>
    <row r="50" spans="1:35" ht="25.5" customHeight="1" x14ac:dyDescent="0.2">
      <c r="A50" s="2726"/>
      <c r="B50" s="3535" t="s">
        <v>1789</v>
      </c>
      <c r="C50" s="3535"/>
      <c r="D50" s="2727"/>
      <c r="E50" s="338"/>
      <c r="F50" s="2599"/>
      <c r="G50" s="3609"/>
      <c r="H50" s="2480" t="s">
        <v>2636</v>
      </c>
      <c r="I50" s="2479"/>
      <c r="J50" s="3621" t="s">
        <v>1790</v>
      </c>
      <c r="K50" s="3621"/>
      <c r="L50" s="3621"/>
      <c r="M50" s="3621"/>
      <c r="N50" s="3621"/>
      <c r="O50" s="3621"/>
    </row>
    <row r="51" spans="1:35" ht="20.5" customHeight="1" x14ac:dyDescent="0.2">
      <c r="A51" s="2728"/>
      <c r="B51" s="3535" t="s">
        <v>1791</v>
      </c>
      <c r="C51" s="3535"/>
      <c r="D51" s="1199"/>
      <c r="E51" s="333"/>
      <c r="F51" s="2599"/>
      <c r="G51" s="3610"/>
      <c r="H51" s="2480" t="s">
        <v>2637</v>
      </c>
      <c r="I51" s="2479"/>
      <c r="J51" s="2699" t="s">
        <v>1792</v>
      </c>
      <c r="K51" s="3602" t="s">
        <v>1793</v>
      </c>
      <c r="L51" s="3602"/>
      <c r="M51" s="2699" t="s">
        <v>1794</v>
      </c>
      <c r="N51" s="2699" t="s">
        <v>1795</v>
      </c>
      <c r="O51" s="2699" t="s">
        <v>1796</v>
      </c>
    </row>
    <row r="52" spans="1:35" ht="24" customHeight="1" x14ac:dyDescent="0.2">
      <c r="A52" s="2508" t="s">
        <v>1797</v>
      </c>
      <c r="B52" s="3535" t="s">
        <v>1798</v>
      </c>
      <c r="C52" s="3535"/>
      <c r="D52" s="1199" t="e">
        <f ca="1">ROUND(D45*'数据-取费表'!B41/(1+'数据-取费表'!C42),0)</f>
        <v>#REF!</v>
      </c>
      <c r="E52" s="2507" t="s">
        <v>1799</v>
      </c>
      <c r="F52" s="2729">
        <f>'数据-取费表'!B41</f>
        <v>5.6000000000000001E-2</v>
      </c>
      <c r="G52" s="2730"/>
      <c r="H52" s="2719"/>
      <c r="I52" s="1943"/>
      <c r="J52" s="2698">
        <v>1</v>
      </c>
      <c r="K52" s="3603" t="s">
        <v>1800</v>
      </c>
      <c r="L52" s="3603"/>
      <c r="M52" s="2700" t="b">
        <f>D48</f>
        <v>0</v>
      </c>
      <c r="N52" s="2698" t="str">
        <f>E48</f>
        <v>销售额×税（费）率</v>
      </c>
      <c r="O52" s="2701">
        <f>F48</f>
        <v>5.6000000000000001E-2</v>
      </c>
    </row>
    <row r="53" spans="1:35" ht="12" customHeight="1" x14ac:dyDescent="0.2">
      <c r="A53" s="2508" t="s">
        <v>1801</v>
      </c>
      <c r="B53" s="3561" t="s">
        <v>2792</v>
      </c>
      <c r="C53" s="3562"/>
      <c r="D53" s="1199" t="e">
        <f ca="1">ROUND(D45*'数据-取费表'!B41/(1+'数据-取费表'!C42),0)</f>
        <v>#REF!</v>
      </c>
      <c r="E53" s="2507" t="s">
        <v>1799</v>
      </c>
      <c r="F53" s="2729">
        <f>'数据-取费表'!B41</f>
        <v>5.6000000000000001E-2</v>
      </c>
      <c r="G53" s="2730"/>
      <c r="H53" s="2719"/>
      <c r="I53" s="1943"/>
      <c r="J53" s="2698">
        <v>2</v>
      </c>
      <c r="K53" s="3603" t="s">
        <v>1802</v>
      </c>
      <c r="L53" s="3603"/>
      <c r="M53" s="2700" t="e">
        <f t="shared" ref="M53:O54" ca="1" si="0">D55</f>
        <v>#REF!</v>
      </c>
      <c r="N53" s="2698" t="str">
        <f t="shared" si="0"/>
        <v>销售额×税（费）率</v>
      </c>
      <c r="O53" s="2701" t="str">
        <f t="shared" si="0"/>
        <v>免征</v>
      </c>
    </row>
    <row r="54" spans="1:35" ht="12" customHeight="1" x14ac:dyDescent="0.2">
      <c r="A54" s="2508" t="s">
        <v>1803</v>
      </c>
      <c r="B54" s="3561" t="s">
        <v>2793</v>
      </c>
      <c r="C54" s="3562"/>
      <c r="D54" s="1199" t="e">
        <f ca="1">C68</f>
        <v>#REF!</v>
      </c>
      <c r="E54" s="333" t="s">
        <v>1804</v>
      </c>
      <c r="F54" s="2729">
        <f>'数据-取费表'!B41</f>
        <v>5.6000000000000001E-2</v>
      </c>
      <c r="G54" s="2730"/>
      <c r="H54" s="2731"/>
      <c r="I54" s="1943"/>
      <c r="J54" s="2698">
        <v>3</v>
      </c>
      <c r="K54" s="3603" t="s">
        <v>1805</v>
      </c>
      <c r="L54" s="3603"/>
      <c r="M54" s="2700" t="e">
        <f t="shared" ca="1" si="0"/>
        <v>#REF!</v>
      </c>
      <c r="N54" s="2698" t="str">
        <f t="shared" si="0"/>
        <v>增值额×税（费）率</v>
      </c>
      <c r="O54" s="2702" t="str">
        <f t="shared" si="0"/>
        <v>免征</v>
      </c>
    </row>
    <row r="55" spans="1:35" ht="24" customHeight="1" x14ac:dyDescent="0.2">
      <c r="A55" s="3550" t="s">
        <v>1806</v>
      </c>
      <c r="B55" s="3551"/>
      <c r="C55" s="3551"/>
      <c r="D55" s="2497" t="e">
        <f ca="1">IF(H55="个人住宅",0,ROUND(D45*I55,0))</f>
        <v>#REF!</v>
      </c>
      <c r="E55" s="2507" t="s">
        <v>1807</v>
      </c>
      <c r="F55" s="2729" t="str">
        <f>IF(H55="正常",I55,"免征")</f>
        <v>免征</v>
      </c>
      <c r="G55" s="2730"/>
      <c r="H55" s="2725"/>
      <c r="I55" s="170">
        <f>'数据-取费表'!B49</f>
        <v>5.0000000000000001E-4</v>
      </c>
      <c r="J55" s="2698">
        <f>IF(H59="非个人房产","",4)</f>
        <v>4</v>
      </c>
      <c r="K55" s="3603" t="str">
        <f>IF(H59="非个人房产","——","个人所得税")</f>
        <v>个人所得税</v>
      </c>
      <c r="L55" s="3603"/>
      <c r="M55" s="2703" t="e">
        <f ca="1">D59</f>
        <v>#REF!</v>
      </c>
      <c r="N55" s="2178" t="str">
        <f>E59</f>
        <v>差额计税</v>
      </c>
      <c r="O55" s="2704">
        <f>F59</f>
        <v>0.01</v>
      </c>
    </row>
    <row r="56" spans="1:35" ht="28" x14ac:dyDescent="0.2">
      <c r="A56" s="3550" t="s">
        <v>1808</v>
      </c>
      <c r="B56" s="3551"/>
      <c r="C56" s="3551"/>
      <c r="D56" s="2497" t="e">
        <f ca="1">IF(H56="个人住宅",D57,D58)</f>
        <v>#REF!</v>
      </c>
      <c r="E56" s="2507" t="s">
        <v>1809</v>
      </c>
      <c r="F56" s="2729" t="str">
        <f>IF(H56="正常",F58,"免征")</f>
        <v>免征</v>
      </c>
      <c r="G56" s="2732" t="s">
        <v>1810</v>
      </c>
      <c r="H56" s="2733"/>
      <c r="I56" s="1944"/>
      <c r="J56" s="2698" t="str">
        <f>IF(项目基本情况!K6="上海银行",IF(J55="",4,J55+1),"")</f>
        <v/>
      </c>
      <c r="K56" s="3626" t="str">
        <f>IF(项目基本情况!K6="上海银行","其他处置费用","")</f>
        <v/>
      </c>
      <c r="L56" s="3627"/>
      <c r="M56" s="2700" t="str">
        <f>IF(项目基本情况!K6="上海银行",M69,"")</f>
        <v/>
      </c>
      <c r="N56" s="3626" t="str">
        <f>IF(项目基本情况!K6="上海银行","包含处置中涉及的律师、诉讼、拍卖、评估等费用","")</f>
        <v/>
      </c>
      <c r="O56" s="3629"/>
    </row>
    <row r="57" spans="1:35" ht="14" x14ac:dyDescent="0.2">
      <c r="A57" s="2508" t="s">
        <v>1786</v>
      </c>
      <c r="B57" s="3561" t="s">
        <v>1811</v>
      </c>
      <c r="C57" s="3562"/>
      <c r="D57" s="1725">
        <v>0</v>
      </c>
      <c r="E57" s="330" t="s">
        <v>1788</v>
      </c>
      <c r="F57" s="308"/>
      <c r="G57" s="2730"/>
      <c r="H57" s="2734"/>
      <c r="I57" s="1944"/>
      <c r="J57" s="3603">
        <f>IF(AND(J55="",J56=""),4,IF(项目基本情况!K6="上海银行",'结果表-商业'!J56+1,'结果表-商业'!J55+1))</f>
        <v>5</v>
      </c>
      <c r="K57" s="3603" t="s">
        <v>1812</v>
      </c>
      <c r="L57" s="2705" t="s">
        <v>1813</v>
      </c>
      <c r="M57" s="2706"/>
      <c r="N57" s="2707">
        <f ca="1">SUMIF(M52:M56,"&lt;9e307")</f>
        <v>0</v>
      </c>
      <c r="O57" s="2708"/>
      <c r="P57" s="2868" t="e">
        <f ca="1">N57/M49</f>
        <v>#VALUE!</v>
      </c>
    </row>
    <row r="58" spans="1:35" ht="28" x14ac:dyDescent="0.2">
      <c r="A58" s="2508" t="s">
        <v>1797</v>
      </c>
      <c r="B58" s="3561" t="s">
        <v>1814</v>
      </c>
      <c r="C58" s="3535"/>
      <c r="D58" s="2497" t="e">
        <f ca="1">IF(H58="转让取得",C81,C97)</f>
        <v>#REF!</v>
      </c>
      <c r="E58" s="2507" t="s">
        <v>1809</v>
      </c>
      <c r="F58" s="308" t="s">
        <v>34</v>
      </c>
      <c r="G58" s="2730"/>
      <c r="H58" s="2733"/>
      <c r="I58" s="1944"/>
      <c r="J58" s="3603"/>
      <c r="K58" s="3603"/>
      <c r="L58" s="2705" t="s">
        <v>1815</v>
      </c>
      <c r="M58" s="2709"/>
      <c r="N58" s="2710" t="str">
        <f ca="1">NUMBERSTRING(INT(N57*10000),2)&amp;"元整"</f>
        <v>零元整</v>
      </c>
      <c r="O58" s="2711"/>
    </row>
    <row r="59" spans="1:35" ht="29" thickBot="1" x14ac:dyDescent="0.25">
      <c r="A59" s="3606" t="s">
        <v>1816</v>
      </c>
      <c r="B59" s="3607"/>
      <c r="C59" s="3607"/>
      <c r="D59" s="2735" t="e">
        <f ca="1">IF(H59="非个人房产","——",IF(H59="个人住宅（满五唯一有凭证）",0,IF(H59="个人其他（无凭证）",ROUND(D45*F59,0),ROUND(C67*F59,0))))</f>
        <v>#REF!</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2638</v>
      </c>
      <c r="J59" s="3604">
        <f>J57+1</f>
        <v>6</v>
      </c>
      <c r="K59" s="3603" t="s">
        <v>1817</v>
      </c>
      <c r="L59" s="2698" t="s">
        <v>1813</v>
      </c>
      <c r="M59" s="2712"/>
      <c r="N59" s="2713" t="e">
        <f ca="1">M49-N57</f>
        <v>#VALUE!</v>
      </c>
      <c r="O59" s="2714"/>
    </row>
    <row r="60" spans="1:35" ht="12" customHeight="1" x14ac:dyDescent="0.2">
      <c r="A60" s="1945"/>
      <c r="B60" s="1883"/>
      <c r="C60" s="1883"/>
      <c r="D60" s="1883"/>
      <c r="E60" s="1713"/>
      <c r="F60" s="1944"/>
      <c r="G60" s="1944"/>
      <c r="H60" s="1946"/>
      <c r="I60" s="134"/>
      <c r="J60" s="3605"/>
      <c r="K60" s="3603"/>
      <c r="L60" s="2705" t="s">
        <v>1815</v>
      </c>
      <c r="M60" s="2709"/>
      <c r="N60" s="2710" t="e">
        <f ca="1">NUMBERSTRING(INT(N59*10000),2)&amp;"元整"</f>
        <v>#VALUE!</v>
      </c>
      <c r="O60" s="2711"/>
    </row>
    <row r="61" spans="1:35" ht="15" thickBot="1" x14ac:dyDescent="0.25">
      <c r="A61" s="3548" t="s">
        <v>1818</v>
      </c>
      <c r="B61" s="3548"/>
      <c r="C61" s="3548"/>
      <c r="D61" s="3548"/>
      <c r="E61" s="3548"/>
      <c r="F61" s="1944"/>
      <c r="G61" s="1944"/>
      <c r="H61" s="1946"/>
      <c r="I61" s="134"/>
      <c r="J61" s="2698">
        <f>J59+1</f>
        <v>7</v>
      </c>
      <c r="K61" s="3603" t="s">
        <v>1819</v>
      </c>
      <c r="L61" s="3603"/>
      <c r="M61" s="2715"/>
      <c r="N61" s="2716" t="e">
        <f ca="1">ROUND(N59*10000/'数据-汇总表'!E3,0)</f>
        <v>#VALUE!</v>
      </c>
      <c r="O61" s="2717"/>
    </row>
    <row r="62" spans="1:35" ht="14" x14ac:dyDescent="0.2">
      <c r="A62" s="3566" t="s">
        <v>1820</v>
      </c>
      <c r="B62" s="3567"/>
      <c r="C62" s="2159"/>
      <c r="D62" s="2159" t="s">
        <v>1821</v>
      </c>
      <c r="E62" s="171" t="s">
        <v>1822</v>
      </c>
      <c r="F62" s="1944"/>
      <c r="G62" s="1944"/>
      <c r="H62" s="1946"/>
      <c r="I62" s="134"/>
    </row>
    <row r="63" spans="1:35" ht="14" x14ac:dyDescent="0.2">
      <c r="A63" s="178" t="s">
        <v>594</v>
      </c>
      <c r="B63" s="172" t="s">
        <v>1823</v>
      </c>
      <c r="C63" s="2739" t="e">
        <f ca="1">ROUND((C64+C65)/(1+'数据-取费表'!C42),0)</f>
        <v>#REF!</v>
      </c>
      <c r="D63" s="172"/>
      <c r="E63" s="173"/>
      <c r="F63" s="1944"/>
      <c r="G63" s="1944"/>
      <c r="H63" s="1946"/>
      <c r="I63" s="134"/>
      <c r="J63" s="3628" t="s">
        <v>1824</v>
      </c>
      <c r="K63" s="1452" t="s">
        <v>1825</v>
      </c>
      <c r="L63" s="1452" t="e">
        <f>IF(M49&gt;10000,M49*0.5%,IF(AND(M49&gt;1000,M49&lt;=10000),M49*1%,IF(AND(M49&gt;100,M49&lt;=1000),M49*3%,IF(AND(M49&gt;10,M49&lt;=100),M49*5%,M49*8%))))</f>
        <v>#VALUE!</v>
      </c>
      <c r="M63" s="308" t="e">
        <f>ROUND(L63,1)</f>
        <v>#VALUE!</v>
      </c>
      <c r="N63" s="2718"/>
      <c r="Z63" s="1888"/>
      <c r="AI63" s="1889"/>
    </row>
    <row r="64" spans="1:35" ht="14.25" customHeight="1" x14ac:dyDescent="0.2">
      <c r="A64" s="174" t="s">
        <v>589</v>
      </c>
      <c r="B64" s="175" t="s">
        <v>1826</v>
      </c>
      <c r="C64" s="2740" t="e">
        <f ca="1">D45</f>
        <v>#REF!</v>
      </c>
      <c r="D64" s="175" t="s">
        <v>32</v>
      </c>
      <c r="E64" s="177"/>
      <c r="F64" s="1944"/>
      <c r="G64" s="1944"/>
      <c r="H64" s="1946"/>
      <c r="I64" s="134"/>
      <c r="J64" s="3628"/>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8"/>
      <c r="AI64" s="1889"/>
    </row>
    <row r="65" spans="1:35" ht="14.25" customHeight="1" x14ac:dyDescent="0.2">
      <c r="A65" s="174" t="s">
        <v>590</v>
      </c>
      <c r="B65" s="175" t="s">
        <v>1829</v>
      </c>
      <c r="C65" s="2741"/>
      <c r="D65" s="175"/>
      <c r="E65" s="177"/>
      <c r="F65" s="1944"/>
      <c r="G65" s="1944"/>
      <c r="H65" s="1946"/>
      <c r="I65" s="134"/>
      <c r="J65" s="3628"/>
      <c r="K65" s="1452" t="s">
        <v>1830</v>
      </c>
      <c r="L65" s="1452" t="e">
        <f>IF(M49&gt;1000,M49*0.1%,IF(AND(M49&gt;500,M49&lt;=1000),M49*0.5%,IF(AND(M49&gt;50,M49&lt;=500),M49*1%,IF(AND(M49&gt;1,M49&lt;=50),M49*1.5%))))</f>
        <v>#VALUE!</v>
      </c>
      <c r="M65" s="308" t="e">
        <f t="shared" si="1"/>
        <v>#VALUE!</v>
      </c>
      <c r="N65" s="2719" t="s">
        <v>1828</v>
      </c>
      <c r="Z65" s="1888"/>
      <c r="AI65" s="1889"/>
    </row>
    <row r="66" spans="1:35" ht="14.25" customHeight="1" x14ac:dyDescent="0.2">
      <c r="A66" s="178" t="s">
        <v>591</v>
      </c>
      <c r="B66" s="179" t="s">
        <v>1831</v>
      </c>
      <c r="C66" s="2742"/>
      <c r="D66" s="179" t="s">
        <v>32</v>
      </c>
      <c r="E66" s="1459" t="s">
        <v>1096</v>
      </c>
      <c r="F66" s="1944"/>
      <c r="G66" s="1944"/>
      <c r="H66" s="1946"/>
      <c r="I66" s="134"/>
      <c r="J66" s="3628"/>
      <c r="K66" s="1452" t="s">
        <v>1832</v>
      </c>
      <c r="L66" s="1452" t="e">
        <f>M49*0.5%</f>
        <v>#VALUE!</v>
      </c>
      <c r="M66" s="308" t="e">
        <f>IF(L66&gt;0.5,0.5,ROUND(L66,0))</f>
        <v>#VALUE!</v>
      </c>
      <c r="N66" s="2719" t="s">
        <v>1833</v>
      </c>
      <c r="Z66" s="1888"/>
      <c r="AI66" s="1889"/>
    </row>
    <row r="67" spans="1:35" ht="14.25" customHeight="1" x14ac:dyDescent="0.2">
      <c r="A67" s="178" t="s">
        <v>592</v>
      </c>
      <c r="B67" s="179" t="s">
        <v>1834</v>
      </c>
      <c r="C67" s="2743" t="e">
        <f ca="1">C63-C66</f>
        <v>#REF!</v>
      </c>
      <c r="D67" s="175" t="s">
        <v>32</v>
      </c>
      <c r="E67" s="177"/>
      <c r="F67" s="1944"/>
      <c r="G67" s="1944"/>
      <c r="H67" s="1946"/>
      <c r="I67" s="134"/>
      <c r="J67" s="3628"/>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8"/>
      <c r="AI67" s="1889"/>
    </row>
    <row r="68" spans="1:35" ht="14.25" customHeight="1" thickBot="1" x14ac:dyDescent="0.25">
      <c r="A68" s="181" t="s">
        <v>593</v>
      </c>
      <c r="B68" s="182" t="s">
        <v>1836</v>
      </c>
      <c r="C68" s="2744" t="e">
        <f ca="1">IF(C67&lt;=0,0,ROUND(C67*D68,0))</f>
        <v>#REF!</v>
      </c>
      <c r="D68" s="2745">
        <f>'数据-取费表'!B41</f>
        <v>5.6000000000000001E-2</v>
      </c>
      <c r="E68" s="184"/>
      <c r="F68" s="1944"/>
      <c r="G68" s="1944"/>
      <c r="H68" s="1946"/>
      <c r="I68" s="134"/>
      <c r="J68" s="3628"/>
      <c r="K68" s="1452" t="s">
        <v>1837</v>
      </c>
      <c r="L68" s="1452" t="e">
        <f>IF(M49&gt;10000,M49*0.5%,IF(AND(M49&gt;5000,M49&lt;=10000),M49*1%,IF(AND(M49&gt;1000,M49&lt;=5000),M49*2%,IF(AND(M49&gt;200,M49&lt;=1000),M49*3%,M49*5%))))</f>
        <v>#VALUE!</v>
      </c>
      <c r="M68" s="308" t="e">
        <f>ROUND(L68,1)</f>
        <v>#VALUE!</v>
      </c>
      <c r="N68" s="2718"/>
      <c r="Z68" s="1888"/>
      <c r="AI68" s="1889"/>
    </row>
    <row r="69" spans="1:35" s="1908" customFormat="1" ht="16.5" customHeight="1" x14ac:dyDescent="0.2">
      <c r="A69" s="1947"/>
      <c r="B69" s="1948"/>
      <c r="C69" s="1949"/>
      <c r="D69" s="1950"/>
      <c r="E69" s="1951"/>
      <c r="F69" s="1713"/>
      <c r="G69" s="1713"/>
      <c r="H69" s="1712"/>
      <c r="I69" s="1883"/>
      <c r="J69" s="3628"/>
      <c r="K69" s="1452" t="s">
        <v>1838</v>
      </c>
      <c r="L69" s="1452"/>
      <c r="M69" s="308" t="e">
        <f>ROUND(SUM(M63:M68),0)</f>
        <v>#VALUE!</v>
      </c>
      <c r="N69" s="2720" t="e">
        <f>M69/M49</f>
        <v>#VALUE!</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x14ac:dyDescent="0.25">
      <c r="A70" s="3587" t="s">
        <v>1839</v>
      </c>
      <c r="B70" s="3588"/>
      <c r="C70" s="3588"/>
      <c r="D70" s="3588"/>
      <c r="E70" s="3588"/>
      <c r="F70" s="3588"/>
      <c r="G70" s="3588"/>
      <c r="H70" s="3588"/>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 x14ac:dyDescent="0.2">
      <c r="A71" s="3566" t="s">
        <v>1820</v>
      </c>
      <c r="B71" s="3567"/>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 x14ac:dyDescent="0.2">
      <c r="A72" s="178" t="s">
        <v>594</v>
      </c>
      <c r="B72" s="179" t="s">
        <v>1840</v>
      </c>
      <c r="C72" s="2743" t="e">
        <f ca="1">ROUND(D45/(1+'数据-取费表'!C42),0)</f>
        <v>#REF!</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 x14ac:dyDescent="0.2">
      <c r="A73" s="178" t="s">
        <v>591</v>
      </c>
      <c r="B73" s="168" t="s">
        <v>1841</v>
      </c>
      <c r="C73" s="2743" t="e">
        <f ca="1">C74+C78</f>
        <v>#REF!</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8" x14ac:dyDescent="0.2">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 x14ac:dyDescent="0.2">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x14ac:dyDescent="0.2">
      <c r="A76" s="174" t="s">
        <v>596</v>
      </c>
      <c r="B76" s="191" t="s">
        <v>1846</v>
      </c>
      <c r="C76" s="175">
        <f>IF(F75="购房发票",ROUND(C75*H75*D76,0),0)</f>
        <v>0</v>
      </c>
      <c r="D76" s="2749">
        <v>0.05</v>
      </c>
      <c r="E76" s="3561" t="s">
        <v>1847</v>
      </c>
      <c r="F76" s="3535"/>
      <c r="G76" s="3535"/>
      <c r="H76" s="3586"/>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x14ac:dyDescent="0.2">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x14ac:dyDescent="0.15">
      <c r="A78" s="174" t="s">
        <v>590</v>
      </c>
      <c r="B78" s="175" t="s">
        <v>1850</v>
      </c>
      <c r="C78" s="2751" t="e">
        <f ca="1">ROUND(D45*D78/(1+'数据-取费表'!C42),0)</f>
        <v>#REF!</v>
      </c>
      <c r="D78" s="2752">
        <f>'数据-取费表'!B43</f>
        <v>6.000000000000001E-3</v>
      </c>
      <c r="E78" s="3545" t="s">
        <v>1851</v>
      </c>
      <c r="F78" s="3546"/>
      <c r="G78" s="3546"/>
      <c r="H78" s="3555"/>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 x14ac:dyDescent="0.2">
      <c r="A79" s="178" t="s">
        <v>598</v>
      </c>
      <c r="B79" s="179" t="s">
        <v>1852</v>
      </c>
      <c r="C79" s="2743" t="e">
        <f ca="1">C72-C73</f>
        <v>#REF!</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8" x14ac:dyDescent="0.2">
      <c r="A80" s="178" t="s">
        <v>599</v>
      </c>
      <c r="B80" s="179" t="s">
        <v>1853</v>
      </c>
      <c r="C80" s="2753" t="e">
        <f ca="1">IF(C79&lt;=0,0,C79/C73)</f>
        <v>#REF!</v>
      </c>
      <c r="D80" s="175" t="s">
        <v>32</v>
      </c>
      <c r="E80" s="2497" t="e">
        <f ca="1">IF(C80&gt;=200%,"增值额超过扣除项目金额200%",IF(C80&gt;=100%,"增值额超过扣除项目金额100%，未超过200%",IF(C80&gt;=50%,"增值额超过扣除项目金额50%，未超过100%",IF(C80&lt;50%,"增值额未超过扣除项目金额50%"))))</f>
        <v>#REF!</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15" thickBot="1" x14ac:dyDescent="0.25">
      <c r="A81" s="181" t="s">
        <v>600</v>
      </c>
      <c r="B81" s="182" t="s">
        <v>1854</v>
      </c>
      <c r="C81" s="2754" t="e">
        <f ca="1">ROUND(IF(C79&lt;=0,0,IF(C80&gt;=200%,C79*60%-C73*35%,IF(C80&gt;=100%,C79*50%-C73*15%,IF(C80&gt;=50%,C79*40%-C73*5%,IF(C80&lt;50%,C79*30%,0))))),0)</f>
        <v>#REF!</v>
      </c>
      <c r="D81" s="275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x14ac:dyDescent="0.15">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x14ac:dyDescent="0.25">
      <c r="A83" s="3587" t="s">
        <v>1855</v>
      </c>
      <c r="B83" s="3588"/>
      <c r="C83" s="3588"/>
      <c r="D83" s="3588"/>
      <c r="E83" s="3588"/>
      <c r="F83" s="3588"/>
      <c r="G83" s="3588"/>
      <c r="H83" s="3588"/>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 x14ac:dyDescent="0.2">
      <c r="A84" s="3566" t="s">
        <v>1820</v>
      </c>
      <c r="B84" s="3567"/>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 x14ac:dyDescent="0.2">
      <c r="A85" s="178" t="s">
        <v>594</v>
      </c>
      <c r="B85" s="179" t="s">
        <v>1840</v>
      </c>
      <c r="C85" s="2743" t="e">
        <f ca="1">ROUND(D45/(1+'数据-取费表'!C42),0)</f>
        <v>#REF!</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 x14ac:dyDescent="0.2">
      <c r="A86" s="178" t="s">
        <v>591</v>
      </c>
      <c r="B86" s="168" t="s">
        <v>1841</v>
      </c>
      <c r="C86" s="2743" t="e">
        <f ca="1">IF(H88="仅含出让金",C87+C90+C91+C92+C93+C94,C87+C91+C92+C93+C94)</f>
        <v>#REF!</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 x14ac:dyDescent="0.2">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 x14ac:dyDescent="0.2">
      <c r="A88" s="174" t="s">
        <v>595</v>
      </c>
      <c r="B88" s="175" t="s">
        <v>1857</v>
      </c>
      <c r="C88" s="2757"/>
      <c r="D88" s="2752"/>
      <c r="E88" s="199" t="s">
        <v>1858</v>
      </c>
      <c r="F88" s="2500"/>
      <c r="G88" s="200" t="s">
        <v>1859</v>
      </c>
      <c r="H88" s="1960"/>
      <c r="I88" s="1957"/>
      <c r="J88" s="2696" t="s">
        <v>2789</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 x14ac:dyDescent="0.2">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 x14ac:dyDescent="0.2">
      <c r="A90" s="174" t="s">
        <v>590</v>
      </c>
      <c r="B90" s="175" t="s">
        <v>1861</v>
      </c>
      <c r="C90" s="2757"/>
      <c r="D90" s="2752"/>
      <c r="E90" s="199" t="str">
        <f>IF(H88="-","土地取得成本中已包含该笔费用"," ")</f>
        <v xml:space="preserve"> </v>
      </c>
      <c r="F90" s="2500"/>
      <c r="G90" s="3630" t="s">
        <v>2630</v>
      </c>
      <c r="H90" s="3631"/>
      <c r="I90" s="1957"/>
      <c r="J90" s="2696" t="s">
        <v>2790</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x14ac:dyDescent="0.2">
      <c r="A91" s="174" t="s">
        <v>1862</v>
      </c>
      <c r="B91" s="175" t="s">
        <v>1863</v>
      </c>
      <c r="C91" s="2751">
        <f>IF(H91="——",'成本法-商业'!C33,I91)</f>
        <v>0</v>
      </c>
      <c r="D91" s="2752"/>
      <c r="E91" s="3545" t="s">
        <v>1864</v>
      </c>
      <c r="F91" s="3546"/>
      <c r="G91" s="3546"/>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x14ac:dyDescent="0.2">
      <c r="A92" s="174" t="s">
        <v>1865</v>
      </c>
      <c r="B92" s="175" t="s">
        <v>1866</v>
      </c>
      <c r="C92" s="2751">
        <f>ROUND((C87+C90+C91)*D92,0)</f>
        <v>0</v>
      </c>
      <c r="D92" s="2758"/>
      <c r="E92" s="3545" t="s">
        <v>1867</v>
      </c>
      <c r="F92" s="3546"/>
      <c r="G92" s="3546"/>
      <c r="H92" s="3555"/>
      <c r="I92" s="1957"/>
      <c r="J92" s="2697" t="s">
        <v>2791</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x14ac:dyDescent="0.2">
      <c r="A93" s="174" t="s">
        <v>1868</v>
      </c>
      <c r="B93" s="175" t="s">
        <v>1850</v>
      </c>
      <c r="C93" s="2751" t="e">
        <f ca="1">ROUND(D45*D93/(1+'数据-取费表'!C42),0)</f>
        <v>#REF!</v>
      </c>
      <c r="D93" s="2752">
        <f>'数据-取费表'!B43</f>
        <v>6.000000000000001E-3</v>
      </c>
      <c r="E93" s="3545" t="s">
        <v>1851</v>
      </c>
      <c r="F93" s="3546"/>
      <c r="G93" s="3546"/>
      <c r="H93" s="3555"/>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x14ac:dyDescent="0.2">
      <c r="A94" s="174" t="s">
        <v>1869</v>
      </c>
      <c r="B94" s="175" t="s">
        <v>1870</v>
      </c>
      <c r="C94" s="2757">
        <f>ROUND((C87+C90+C91)*D94,0)</f>
        <v>0</v>
      </c>
      <c r="D94" s="2752">
        <v>0.2</v>
      </c>
      <c r="E94" s="3556" t="s">
        <v>1871</v>
      </c>
      <c r="F94" s="3557"/>
      <c r="G94" s="3557"/>
      <c r="H94" s="3558"/>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 x14ac:dyDescent="0.2">
      <c r="A95" s="178" t="s">
        <v>598</v>
      </c>
      <c r="B95" s="179" t="s">
        <v>1852</v>
      </c>
      <c r="C95" s="2743" t="e">
        <f ca="1">ROUND(C85-C86,0)</f>
        <v>#REF!</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8" x14ac:dyDescent="0.2">
      <c r="A96" s="178" t="s">
        <v>599</v>
      </c>
      <c r="B96" s="179" t="s">
        <v>1853</v>
      </c>
      <c r="C96" s="2753" t="e">
        <f ca="1">IF(C95&lt;=0,0,C95/C86)</f>
        <v>#REF!</v>
      </c>
      <c r="D96" s="175" t="s">
        <v>32</v>
      </c>
      <c r="E96" s="2497" t="e">
        <f ca="1">IF(C96&gt;=200%,"增值额超过扣除项目金额200%",IF(C96&gt;=100%,"增值额超过扣除项目金额100%，未超过200%",IF(C96&gt;=50%,"增值额超过扣除项目金额50%，未超过100%",IF(C96&lt;50%,"增值额未超过扣除项目金额50%"))))</f>
        <v>#REF!</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15" thickBot="1" x14ac:dyDescent="0.25">
      <c r="A97" s="181" t="s">
        <v>600</v>
      </c>
      <c r="B97" s="182" t="s">
        <v>1854</v>
      </c>
      <c r="C97" s="2754" t="e">
        <f ca="1">ROUND(IF(C95&lt;=0,0,IF(C96&gt;=200%,C95*60%-C86*35%,IF(C96&gt;=100%,C95*50%-C86*15%,IF(C96&gt;=50%,C95*40%-C86*5%,IF(C96&lt;50%,C95*30%,0))))),0)</f>
        <v>#REF!</v>
      </c>
      <c r="D97" s="275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x14ac:dyDescent="0.2">
      <c r="A98" s="1945"/>
      <c r="B98" s="1883"/>
      <c r="C98" s="1883"/>
      <c r="D98" s="1883"/>
      <c r="E98" s="1713"/>
      <c r="F98" s="1713"/>
      <c r="G98" s="1713"/>
      <c r="H98" s="1712"/>
      <c r="I98" s="134"/>
    </row>
    <row r="99" spans="1:35" ht="21.75" customHeight="1" thickBot="1" x14ac:dyDescent="0.25">
      <c r="A99" s="1936" t="s">
        <v>1872</v>
      </c>
      <c r="B99" s="1883"/>
      <c r="C99" s="1883"/>
      <c r="D99" s="1883"/>
      <c r="E99" s="1713"/>
      <c r="F99" s="1713"/>
      <c r="G99" s="1713"/>
      <c r="H99" s="1712"/>
      <c r="I99" s="134"/>
    </row>
    <row r="100" spans="1:35" ht="18.75" customHeight="1" x14ac:dyDescent="0.2">
      <c r="A100" s="3531" t="s">
        <v>1873</v>
      </c>
      <c r="B100" s="3532"/>
      <c r="C100" s="3532"/>
      <c r="D100" s="3547"/>
      <c r="E100" s="3532" t="s">
        <v>1874</v>
      </c>
      <c r="F100" s="3532"/>
      <c r="G100" s="3532"/>
      <c r="H100" s="3547"/>
      <c r="I100" s="134"/>
    </row>
    <row r="101" spans="1:35" ht="18.75" customHeight="1" x14ac:dyDescent="0.2">
      <c r="A101" s="3611" t="s">
        <v>1875</v>
      </c>
      <c r="B101" s="3612"/>
      <c r="C101" s="2760" t="str">
        <f>C4</f>
        <v>收益法-商业</v>
      </c>
      <c r="D101" s="2761" t="str">
        <f>D4</f>
        <v>成本法-商业</v>
      </c>
      <c r="E101" s="3625" t="s">
        <v>1876</v>
      </c>
      <c r="F101" s="3579"/>
      <c r="G101" s="1963" t="s">
        <v>1877</v>
      </c>
      <c r="H101" s="2770" t="e">
        <f ca="1">H118</f>
        <v>#REF!</v>
      </c>
      <c r="I101" s="134"/>
    </row>
    <row r="102" spans="1:35" ht="18.75" customHeight="1" x14ac:dyDescent="0.2">
      <c r="A102" s="3581" t="s">
        <v>1878</v>
      </c>
      <c r="B102" s="2759" t="s">
        <v>1877</v>
      </c>
      <c r="C102" s="2760">
        <f ca="1">C19</f>
        <v>265</v>
      </c>
      <c r="D102" s="2761">
        <f ca="1">D19</f>
        <v>331</v>
      </c>
      <c r="E102" s="3625"/>
      <c r="F102" s="3579"/>
      <c r="G102" s="1963" t="s">
        <v>1879</v>
      </c>
      <c r="H102" s="2730" t="e">
        <f ca="1">I118</f>
        <v>#REF!</v>
      </c>
      <c r="I102" s="134"/>
    </row>
    <row r="103" spans="1:35" ht="42.75" customHeight="1" x14ac:dyDescent="0.2">
      <c r="A103" s="3581"/>
      <c r="B103" s="2759" t="s">
        <v>1879</v>
      </c>
      <c r="C103" s="2762">
        <f ca="1">C20</f>
        <v>45060</v>
      </c>
      <c r="D103" s="2763">
        <f ca="1">D20</f>
        <v>56283</v>
      </c>
      <c r="E103" s="3619" t="s">
        <v>1880</v>
      </c>
      <c r="F103" s="3620"/>
      <c r="G103" s="1964" t="s">
        <v>1881</v>
      </c>
      <c r="H103" s="2770">
        <f>IF(D36="正常操作",H104+H105+H106,H105+H106)</f>
        <v>0</v>
      </c>
      <c r="I103" s="134"/>
    </row>
    <row r="104" spans="1:35" ht="18.75" customHeight="1" x14ac:dyDescent="0.2">
      <c r="A104" s="3581" t="s">
        <v>1882</v>
      </c>
      <c r="B104" s="2764" t="s">
        <v>1877</v>
      </c>
      <c r="C104" s="2765" t="e">
        <f ca="1">H118</f>
        <v>#REF!</v>
      </c>
      <c r="D104" s="2766"/>
      <c r="E104" s="1810" t="s">
        <v>1883</v>
      </c>
      <c r="F104" s="1801"/>
      <c r="G104" s="1964" t="s">
        <v>1881</v>
      </c>
      <c r="H104" s="2771">
        <f>IF(D36="同一抵押权人同一抵押物续贷",C36&amp;"（续贷，未扣减，详见特别提示）",C36)</f>
        <v>0</v>
      </c>
      <c r="I104" s="134"/>
    </row>
    <row r="105" spans="1:35" ht="18.75" customHeight="1" thickBot="1" x14ac:dyDescent="0.25">
      <c r="A105" s="3582"/>
      <c r="B105" s="2767" t="s">
        <v>1879</v>
      </c>
      <c r="C105" s="2768" t="e">
        <f ca="1">I118</f>
        <v>#REF!</v>
      </c>
      <c r="D105" s="2769"/>
      <c r="E105" s="1810" t="s">
        <v>1884</v>
      </c>
      <c r="F105" s="1801"/>
      <c r="G105" s="1964" t="s">
        <v>1881</v>
      </c>
      <c r="H105" s="2772">
        <f>C37</f>
        <v>0</v>
      </c>
      <c r="I105" s="134"/>
    </row>
    <row r="106" spans="1:35" ht="18.75" customHeight="1" x14ac:dyDescent="0.2">
      <c r="A106" s="1883" t="s">
        <v>1885</v>
      </c>
      <c r="B106" s="1883"/>
      <c r="C106" s="1883"/>
      <c r="D106" s="1883"/>
      <c r="E106" s="1965" t="s">
        <v>1886</v>
      </c>
      <c r="F106" s="1801"/>
      <c r="G106" s="1964" t="s">
        <v>1881</v>
      </c>
      <c r="H106" s="2772">
        <f>C38</f>
        <v>0</v>
      </c>
      <c r="I106" s="134"/>
    </row>
    <row r="107" spans="1:35" ht="18.75" customHeight="1" x14ac:dyDescent="0.2">
      <c r="A107" s="134"/>
      <c r="B107" s="134"/>
      <c r="C107" s="134"/>
      <c r="D107" s="134"/>
      <c r="E107" s="3578" t="str">
        <f>IF(项目基本情况!E8="已注销","——","3.房地产抵押价值")</f>
        <v>3.房地产抵押价值</v>
      </c>
      <c r="F107" s="3579"/>
      <c r="G107" s="1963" t="s">
        <v>1877</v>
      </c>
      <c r="H107" s="2770" t="e">
        <f ca="1">IF(E107="——","——",H101-H103)</f>
        <v>#REF!</v>
      </c>
      <c r="I107" s="134"/>
    </row>
    <row r="108" spans="1:35" ht="18.75" customHeight="1" x14ac:dyDescent="0.2">
      <c r="A108" s="134"/>
      <c r="B108" s="134"/>
      <c r="C108" s="134"/>
      <c r="D108" s="134"/>
      <c r="E108" s="3578"/>
      <c r="F108" s="3579"/>
      <c r="G108" s="1963" t="s">
        <v>1879</v>
      </c>
      <c r="H108" s="2730" t="e">
        <f ca="1">ROUND(H107*10000/'数据-汇总表'!E3,0)</f>
        <v>#REF!</v>
      </c>
      <c r="I108" s="134"/>
    </row>
    <row r="109" spans="1:35" ht="18.75" customHeight="1" x14ac:dyDescent="0.2">
      <c r="A109" s="134"/>
      <c r="B109" s="134"/>
      <c r="C109" s="134"/>
      <c r="D109" s="134"/>
      <c r="E109" s="3578" t="str">
        <f>IF(项目基本情况!E8="已注销及未注销","4.抵押担保权已注销时的房地产抵押价值",IF(项目基本情况!E8="已注销","3.抵押担保权已注销时的房地产抵押价值","——"))</f>
        <v>——</v>
      </c>
      <c r="F109" s="3579"/>
      <c r="G109" s="1963" t="s">
        <v>1877</v>
      </c>
      <c r="H109" s="2773" t="str">
        <f>IF(E109="——","——",H101-H105-H106)</f>
        <v>——</v>
      </c>
      <c r="I109" s="134"/>
    </row>
    <row r="110" spans="1:35" ht="18.75" customHeight="1" x14ac:dyDescent="0.2">
      <c r="A110" s="134"/>
      <c r="B110" s="134"/>
      <c r="C110" s="134"/>
      <c r="D110" s="134"/>
      <c r="E110" s="3578"/>
      <c r="F110" s="3579"/>
      <c r="G110" s="1963" t="s">
        <v>1879</v>
      </c>
      <c r="H110" s="2730" t="str">
        <f>IF(H109="——","——",ROUND(H109*10000/'数据-汇总表'!E3,0))</f>
        <v>——</v>
      </c>
      <c r="I110" s="134"/>
    </row>
    <row r="111" spans="1:35" ht="18.75" customHeight="1" x14ac:dyDescent="0.2">
      <c r="A111" s="134"/>
      <c r="B111" s="134"/>
      <c r="C111" s="134"/>
      <c r="D111" s="134"/>
      <c r="E111" s="3613" t="str">
        <f>IF(项目基本情况!E9="抵押净值",IF(OR(项目基本情况!E8="已注销",项目基本情况!E8="房地产抵押价值"),"4.抵押净值","5.抵押净值"),"——")</f>
        <v>——</v>
      </c>
      <c r="F111" s="3580"/>
      <c r="G111" s="1963" t="s">
        <v>1877</v>
      </c>
      <c r="H111" s="2770" t="str">
        <f>IF(E111="——","——",N59)</f>
        <v>——</v>
      </c>
      <c r="I111" s="134"/>
    </row>
    <row r="112" spans="1:35" ht="18.75" customHeight="1" thickBot="1" x14ac:dyDescent="0.25">
      <c r="A112" s="134"/>
      <c r="B112" s="134"/>
      <c r="C112" s="134"/>
      <c r="D112" s="134"/>
      <c r="E112" s="3614"/>
      <c r="F112" s="3615"/>
      <c r="G112" s="1966" t="s">
        <v>1879</v>
      </c>
      <c r="H112" s="2774" t="str">
        <f>IF(E111="——","——",N61)</f>
        <v>——</v>
      </c>
      <c r="I112" s="134"/>
    </row>
    <row r="113" spans="1:27" ht="18.75" customHeight="1" x14ac:dyDescent="0.2">
      <c r="A113" s="134"/>
      <c r="B113" s="134"/>
      <c r="C113" s="134"/>
      <c r="D113" s="134"/>
      <c r="E113" s="3583" t="s">
        <v>1885</v>
      </c>
      <c r="F113" s="3583"/>
      <c r="G113" s="3583"/>
      <c r="H113" s="3583"/>
      <c r="I113" s="134"/>
    </row>
    <row r="114" spans="1:27" ht="3.75" customHeight="1" x14ac:dyDescent="0.2">
      <c r="A114" s="1883"/>
      <c r="B114" s="1883"/>
      <c r="C114" s="1883"/>
      <c r="D114" s="1883"/>
      <c r="E114" s="1945"/>
      <c r="F114" s="1945"/>
      <c r="G114" s="1945"/>
      <c r="H114" s="1945"/>
      <c r="I114" s="1883"/>
    </row>
    <row r="115" spans="1:27" ht="18.75" customHeight="1" x14ac:dyDescent="0.2">
      <c r="A115" s="3596" t="s">
        <v>1887</v>
      </c>
      <c r="B115" s="3597"/>
      <c r="C115" s="3597"/>
      <c r="D115" s="3597"/>
      <c r="E115" s="3597"/>
      <c r="F115" s="3597"/>
      <c r="G115" s="3597"/>
      <c r="H115" s="3597"/>
      <c r="I115" s="3598"/>
    </row>
    <row r="116" spans="1:27" ht="27" customHeight="1" x14ac:dyDescent="0.2">
      <c r="A116" s="3549" t="s">
        <v>1888</v>
      </c>
      <c r="B116" s="3584" t="s">
        <v>1889</v>
      </c>
      <c r="C116" s="3584" t="s">
        <v>1890</v>
      </c>
      <c r="D116" s="3600" t="s">
        <v>1891</v>
      </c>
      <c r="E116" s="3601"/>
      <c r="F116" s="3592" t="s">
        <v>1892</v>
      </c>
      <c r="G116" s="3592"/>
      <c r="H116" s="3549" t="s">
        <v>1893</v>
      </c>
      <c r="I116" s="3549"/>
    </row>
    <row r="117" spans="1:27" ht="18.75" customHeight="1" x14ac:dyDescent="0.2">
      <c r="A117" s="3549"/>
      <c r="B117" s="3585"/>
      <c r="C117" s="3585"/>
      <c r="D117" s="2502" t="s">
        <v>1894</v>
      </c>
      <c r="E117" s="2502" t="s">
        <v>1895</v>
      </c>
      <c r="F117" s="2502" t="s">
        <v>1894</v>
      </c>
      <c r="G117" s="2502" t="s">
        <v>1896</v>
      </c>
      <c r="H117" s="2502" t="s">
        <v>1894</v>
      </c>
      <c r="I117" s="2502" t="s">
        <v>1896</v>
      </c>
    </row>
    <row r="118" spans="1:27" ht="24.75" customHeight="1" x14ac:dyDescent="0.2">
      <c r="A118" s="2775" t="str">
        <f>项目基本情况!S2</f>
        <v>北京市房地产</v>
      </c>
      <c r="B118" s="2502">
        <f>M18</f>
        <v>58.81</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spans="1:27" ht="18.75" customHeight="1" x14ac:dyDescent="0.2">
      <c r="A119" s="3549" t="s">
        <v>1897</v>
      </c>
      <c r="B119" s="3549"/>
      <c r="C119" s="3549"/>
      <c r="D119" s="3589" t="e">
        <f ca="1">NUMBERSTRING(INT(D118*10000),2)&amp;"元整"</f>
        <v>#REF!</v>
      </c>
      <c r="E119" s="3591"/>
      <c r="F119" s="3589" t="e">
        <f ca="1">NUMBERSTRING(INT(F118*10000),2)&amp;"元整"</f>
        <v>#REF!</v>
      </c>
      <c r="G119" s="3591"/>
      <c r="H119" s="3589" t="e">
        <f ca="1">NUMBERSTRING(INT(H118*10000),2)&amp;"元整"</f>
        <v>#REF!</v>
      </c>
      <c r="I119" s="3591"/>
    </row>
    <row r="120" spans="1:27" ht="18.75" customHeight="1" x14ac:dyDescent="0.2">
      <c r="A120" s="3616" t="str">
        <f>IF(项目基本情况!B9="房地产市场价值","",MID(E103,3,LEN(E103)-2))</f>
        <v/>
      </c>
      <c r="B120" s="3617"/>
      <c r="C120" s="3618"/>
      <c r="D120" s="3616">
        <f>H103</f>
        <v>0</v>
      </c>
      <c r="E120" s="3617"/>
      <c r="F120" s="3617"/>
      <c r="G120" s="3617"/>
      <c r="H120" s="3617"/>
      <c r="I120" s="3618"/>
      <c r="J120" s="1888"/>
      <c r="K120" s="1888" t="str">
        <f>IF(D120=0,"故，本次评估不存在"&amp;A120,"故，本次评估"&amp;A120&amp;"为人民币"&amp;D120&amp;"万元整。")</f>
        <v>故，本次评估不存在</v>
      </c>
      <c r="L120" s="1888"/>
      <c r="M120" s="1888"/>
      <c r="N120" s="1888"/>
      <c r="O120" s="1888"/>
      <c r="P120" s="1888"/>
      <c r="Q120" s="1888"/>
      <c r="R120" s="1888"/>
      <c r="S120" s="1888"/>
    </row>
    <row r="121" spans="1:27" ht="18.75" customHeight="1" x14ac:dyDescent="0.2">
      <c r="A121" s="3593" t="s">
        <v>1897</v>
      </c>
      <c r="B121" s="3594"/>
      <c r="C121" s="3595"/>
      <c r="D121" s="3589" t="str">
        <f>IF(D120=0,"零元整",NUMBERSTRING(INT(D120*10000),2)&amp;"元整")</f>
        <v>零元整</v>
      </c>
      <c r="E121" s="3590"/>
      <c r="F121" s="3590"/>
      <c r="G121" s="3590"/>
      <c r="H121" s="3590"/>
      <c r="I121" s="3591"/>
      <c r="AA121" s="733"/>
    </row>
    <row r="122" spans="1:27" ht="18.75" customHeight="1" x14ac:dyDescent="0.2">
      <c r="A122" s="3580" t="str">
        <f>IF(项目基本情况!B9="房地产市场价值","",MID(E107,3,LEN(E107)-2))</f>
        <v/>
      </c>
      <c r="B122" s="3580"/>
      <c r="C122" s="3580"/>
      <c r="D122" s="3616" t="e">
        <f ca="1">H107</f>
        <v>#REF!</v>
      </c>
      <c r="E122" s="3617"/>
      <c r="F122" s="3617"/>
      <c r="G122" s="3617"/>
      <c r="H122" s="3617"/>
      <c r="I122" s="3618"/>
      <c r="AA122" s="733"/>
    </row>
    <row r="123" spans="1:27" ht="18.75" customHeight="1" x14ac:dyDescent="0.2">
      <c r="A123" s="3549" t="s">
        <v>1897</v>
      </c>
      <c r="B123" s="3549"/>
      <c r="C123" s="3549"/>
      <c r="D123" s="3589" t="e">
        <f ca="1">NUMBERSTRING(INT(D122*10000),2)&amp;"元整"</f>
        <v>#REF!</v>
      </c>
      <c r="E123" s="3590"/>
      <c r="F123" s="3590"/>
      <c r="G123" s="3590"/>
      <c r="H123" s="3590"/>
      <c r="I123" s="3591"/>
      <c r="AA123" s="733"/>
    </row>
    <row r="124" spans="1:27" ht="18.75" customHeight="1" x14ac:dyDescent="0.2">
      <c r="A124" s="3580" t="str">
        <f>IF(项目基本情况!B9="房地产市场价值","",MID(E109,3,LEN(E109)-2))</f>
        <v/>
      </c>
      <c r="B124" s="3580"/>
      <c r="C124" s="3580"/>
      <c r="D124" s="3616" t="str">
        <f>H109</f>
        <v>——</v>
      </c>
      <c r="E124" s="3617"/>
      <c r="F124" s="3617"/>
      <c r="G124" s="3617"/>
      <c r="H124" s="3617"/>
      <c r="I124" s="3618"/>
      <c r="AA124" s="733"/>
    </row>
    <row r="125" spans="1:27" ht="18.75" customHeight="1" x14ac:dyDescent="0.2">
      <c r="A125" s="3549" t="s">
        <v>1897</v>
      </c>
      <c r="B125" s="3549"/>
      <c r="C125" s="3549"/>
      <c r="D125" s="3589" t="e">
        <f>NUMBERSTRING(INT(D124*10000),2)&amp;"元整"</f>
        <v>#VALUE!</v>
      </c>
      <c r="E125" s="3590"/>
      <c r="F125" s="3590"/>
      <c r="G125" s="3590"/>
      <c r="H125" s="3590"/>
      <c r="I125" s="3591"/>
      <c r="AA125" s="733"/>
    </row>
    <row r="126" spans="1:27" ht="18.75" customHeight="1" x14ac:dyDescent="0.2">
      <c r="A126" s="3580" t="str">
        <f>IF(项目基本情况!B9="房地产市场价值","",MID(E111,3,LEN(E111)-2))</f>
        <v/>
      </c>
      <c r="B126" s="3580"/>
      <c r="C126" s="3580"/>
      <c r="D126" s="3616" t="str">
        <f>H111</f>
        <v>——</v>
      </c>
      <c r="E126" s="3617"/>
      <c r="F126" s="3617"/>
      <c r="G126" s="3617"/>
      <c r="H126" s="3617"/>
      <c r="I126" s="3618"/>
      <c r="AA126" s="733"/>
    </row>
    <row r="127" spans="1:27" ht="18.75" customHeight="1" x14ac:dyDescent="0.2">
      <c r="A127" s="3549" t="s">
        <v>1897</v>
      </c>
      <c r="B127" s="3549"/>
      <c r="C127" s="3549"/>
      <c r="D127" s="3589" t="e">
        <f>NUMBERSTRING(INT(D126*10000),2)&amp;"元整"</f>
        <v>#VALUE!</v>
      </c>
      <c r="E127" s="3590"/>
      <c r="F127" s="3590"/>
      <c r="G127" s="3590"/>
      <c r="H127" s="3590"/>
      <c r="I127" s="3591"/>
      <c r="AA127" s="733"/>
    </row>
    <row r="128" spans="1:27" ht="21.75" customHeight="1" x14ac:dyDescent="0.2">
      <c r="A128" s="3599" t="s">
        <v>1898</v>
      </c>
      <c r="B128" s="3599"/>
      <c r="C128" s="3599"/>
      <c r="D128" s="3599"/>
      <c r="E128" s="3599"/>
      <c r="F128" s="3599"/>
      <c r="G128" s="3599"/>
      <c r="H128" s="3599"/>
      <c r="I128" s="3599"/>
      <c r="AA128" s="733"/>
    </row>
    <row r="129" spans="1:35" ht="21.75" customHeight="1" x14ac:dyDescent="0.2">
      <c r="A129" s="1967" t="s">
        <v>1899</v>
      </c>
      <c r="B129" s="1968"/>
      <c r="C129" s="1969" t="s">
        <v>1900</v>
      </c>
      <c r="D129" s="1970"/>
      <c r="E129" s="1970"/>
      <c r="F129" s="1970"/>
      <c r="G129" s="1970"/>
      <c r="H129" s="1971"/>
      <c r="I129" s="1972"/>
      <c r="AA129" s="733"/>
    </row>
    <row r="130" spans="1:35" ht="21.75" customHeight="1" x14ac:dyDescent="0.2">
      <c r="A130" s="1973">
        <v>1</v>
      </c>
      <c r="B130" s="1974"/>
      <c r="C130" s="1974"/>
      <c r="D130" s="1975"/>
      <c r="E130" s="1975"/>
      <c r="F130" s="1975"/>
      <c r="G130" s="1975"/>
      <c r="H130" s="1976"/>
      <c r="I130" s="1977"/>
      <c r="AA130" s="733"/>
    </row>
    <row r="131" spans="1:35" ht="21.75" customHeight="1" x14ac:dyDescent="0.2">
      <c r="A131" s="1973">
        <v>2</v>
      </c>
      <c r="B131" s="1974"/>
      <c r="C131" s="1974"/>
      <c r="D131" s="1975"/>
      <c r="E131" s="1975"/>
      <c r="F131" s="1975"/>
      <c r="G131" s="1975"/>
      <c r="H131" s="1976"/>
      <c r="I131" s="1977"/>
      <c r="AA131" s="733"/>
    </row>
    <row r="132" spans="1:35" ht="21.75" customHeight="1" x14ac:dyDescent="0.2">
      <c r="A132" s="1973">
        <v>3</v>
      </c>
      <c r="B132" s="1974"/>
      <c r="C132" s="1974"/>
      <c r="D132" s="1975"/>
      <c r="E132" s="1975"/>
      <c r="F132" s="1975"/>
      <c r="G132" s="1975"/>
      <c r="H132" s="1976"/>
      <c r="I132" s="1977"/>
      <c r="AA132" s="733"/>
    </row>
    <row r="133" spans="1:35" ht="21.75" customHeight="1" x14ac:dyDescent="0.2">
      <c r="A133" s="1978"/>
      <c r="B133" s="1979"/>
      <c r="C133" s="1979"/>
      <c r="D133" s="1980"/>
      <c r="E133" s="1980"/>
      <c r="F133" s="1980"/>
      <c r="G133" s="1980"/>
      <c r="H133" s="1981"/>
      <c r="I133" s="1982"/>
    </row>
    <row r="134" spans="1:35" ht="21.75" customHeight="1" x14ac:dyDescent="0.2">
      <c r="A134" s="1974"/>
      <c r="B134" s="1974"/>
      <c r="C134" s="1974"/>
      <c r="D134" s="1975"/>
      <c r="E134" s="1975"/>
      <c r="F134" s="1975"/>
      <c r="G134" s="1975"/>
      <c r="H134" s="1976"/>
      <c r="I134" s="733"/>
    </row>
    <row r="135" spans="1:35" ht="21.75" customHeight="1" x14ac:dyDescent="0.2">
      <c r="A135" s="733"/>
      <c r="B135" s="733"/>
      <c r="C135" s="733"/>
      <c r="D135" s="733"/>
      <c r="E135" s="733"/>
      <c r="F135" s="1983" t="s">
        <v>1901</v>
      </c>
      <c r="G135" s="1984"/>
      <c r="H135" s="1984"/>
      <c r="I135" s="1985" t="s">
        <v>1902</v>
      </c>
    </row>
    <row r="136" spans="1:35" ht="21.75" customHeight="1" x14ac:dyDescent="0.2">
      <c r="A136" s="733"/>
      <c r="B136" s="1986" t="s">
        <v>1903</v>
      </c>
      <c r="C136" s="733"/>
      <c r="D136" s="733"/>
      <c r="E136" s="733"/>
      <c r="F136" s="733"/>
      <c r="G136" s="733"/>
      <c r="H136" s="733"/>
      <c r="I136" s="733"/>
    </row>
    <row r="137" spans="1:35" ht="21.75" customHeight="1" x14ac:dyDescent="0.2">
      <c r="A137" s="733"/>
      <c r="B137" s="733"/>
      <c r="C137" s="733"/>
      <c r="D137" s="733"/>
      <c r="E137" s="733"/>
      <c r="F137" s="733"/>
      <c r="G137" s="733"/>
      <c r="H137" s="733"/>
      <c r="I137" s="733"/>
    </row>
    <row r="138" spans="1:35" ht="21.75" customHeight="1" x14ac:dyDescent="0.2">
      <c r="A138" s="733"/>
      <c r="B138" s="1984"/>
      <c r="C138" s="1984"/>
      <c r="D138" s="1984"/>
      <c r="E138" s="1984"/>
      <c r="F138" s="1984"/>
      <c r="G138" s="1984"/>
      <c r="H138" s="1984"/>
      <c r="I138" s="1985" t="s">
        <v>1904</v>
      </c>
    </row>
    <row r="139" spans="1:35" ht="21.75" customHeight="1" x14ac:dyDescent="0.2">
      <c r="A139" s="733"/>
      <c r="B139" s="1986" t="s">
        <v>1905</v>
      </c>
      <c r="C139" s="733"/>
      <c r="D139" s="733"/>
      <c r="E139" s="733"/>
      <c r="F139" s="733"/>
      <c r="G139" s="733"/>
      <c r="H139" s="733"/>
      <c r="I139" s="733"/>
    </row>
    <row r="140" spans="1:35" ht="21.75" customHeight="1" x14ac:dyDescent="0.2">
      <c r="A140" s="733"/>
      <c r="B140" s="1986"/>
      <c r="C140" s="733"/>
      <c r="D140" s="733"/>
      <c r="E140" s="733"/>
      <c r="F140" s="733"/>
      <c r="G140" s="733"/>
      <c r="H140" s="733"/>
      <c r="I140" s="733"/>
    </row>
    <row r="141" spans="1:35" ht="21.75" customHeight="1" x14ac:dyDescent="0.2">
      <c r="A141" s="733"/>
      <c r="B141" s="1984"/>
      <c r="C141" s="1984"/>
      <c r="D141" s="1984"/>
      <c r="E141" s="1984"/>
      <c r="F141" s="1984"/>
      <c r="G141" s="1984"/>
      <c r="H141" s="1984"/>
      <c r="I141" s="1985" t="s">
        <v>1904</v>
      </c>
    </row>
    <row r="142" spans="1:35" ht="21.75" customHeight="1" x14ac:dyDescent="0.2">
      <c r="A142" s="733"/>
      <c r="B142" s="1986"/>
      <c r="C142" s="1987"/>
      <c r="D142" s="1988"/>
      <c r="E142" s="1988"/>
      <c r="F142" s="1877"/>
      <c r="G142" s="733"/>
      <c r="H142" s="733"/>
      <c r="I142" s="733"/>
    </row>
    <row r="143" spans="1:35" s="135" customFormat="1" ht="21.75" customHeight="1" x14ac:dyDescent="0.2">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x14ac:dyDescent="0.2">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x14ac:dyDescent="0.2">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x14ac:dyDescent="0.2"/>
    <row r="147" spans="1:35" s="733" customFormat="1" ht="21.75" customHeight="1" x14ac:dyDescent="0.2"/>
    <row r="148" spans="1:35" s="733" customFormat="1" ht="21.75" customHeight="1" x14ac:dyDescent="0.2"/>
    <row r="149" spans="1:35" s="733" customFormat="1" ht="21.75" customHeight="1" x14ac:dyDescent="0.2"/>
    <row r="150" spans="1:35" s="733" customFormat="1" ht="21.75" customHeight="1" x14ac:dyDescent="0.2"/>
    <row r="151" spans="1:35" s="733" customFormat="1" ht="21.75" customHeight="1" x14ac:dyDescent="0.2"/>
    <row r="152" spans="1:35" s="733" customFormat="1" ht="21.75" customHeight="1" x14ac:dyDescent="0.2"/>
    <row r="153" spans="1:35" s="733" customFormat="1" ht="21.75" customHeight="1" x14ac:dyDescent="0.2"/>
    <row r="154" spans="1:35" s="733" customFormat="1" ht="21.75" customHeight="1" x14ac:dyDescent="0.2"/>
    <row r="155" spans="1:35" s="733" customFormat="1" ht="21.75" customHeight="1" x14ac:dyDescent="0.2"/>
    <row r="156" spans="1:35" s="733" customFormat="1" ht="21.75" customHeight="1" x14ac:dyDescent="0.2"/>
    <row r="157" spans="1:35" s="733" customFormat="1" ht="21.75" customHeight="1" x14ac:dyDescent="0.2"/>
    <row r="158" spans="1:35" s="733" customFormat="1" ht="21.75" customHeight="1" x14ac:dyDescent="0.2"/>
    <row r="159" spans="1:35" s="733" customFormat="1" ht="21.75" customHeight="1" x14ac:dyDescent="0.2"/>
    <row r="160" spans="1:35" s="733" customFormat="1" ht="21.75" customHeight="1" x14ac:dyDescent="0.2"/>
    <row r="161" s="733" customFormat="1" ht="21.75" customHeight="1" x14ac:dyDescent="0.2"/>
    <row r="162" s="733" customFormat="1" ht="21.75" customHeight="1" x14ac:dyDescent="0.2"/>
    <row r="163" s="733" customFormat="1" ht="21.75" customHeight="1" x14ac:dyDescent="0.2"/>
    <row r="164" s="733" customFormat="1" ht="21.75" customHeight="1" x14ac:dyDescent="0.2"/>
    <row r="165" s="733" customFormat="1" ht="21.75" customHeight="1" x14ac:dyDescent="0.2"/>
    <row r="166" s="733" customFormat="1" ht="21.75" customHeight="1" x14ac:dyDescent="0.2"/>
    <row r="167" s="733" customFormat="1" ht="21.75" customHeight="1" x14ac:dyDescent="0.2"/>
    <row r="168" s="733" customFormat="1" ht="21.75" customHeight="1" x14ac:dyDescent="0.2"/>
    <row r="169" s="733" customFormat="1" ht="21.75" customHeight="1" x14ac:dyDescent="0.2"/>
    <row r="170" s="733" customFormat="1" ht="21.75" customHeight="1" x14ac:dyDescent="0.2"/>
    <row r="171" s="733" customFormat="1" ht="21.75" customHeight="1" x14ac:dyDescent="0.2"/>
    <row r="172" s="733" customFormat="1" ht="21.75" customHeight="1" x14ac:dyDescent="0.2"/>
    <row r="173" s="733" customFormat="1" ht="21.75" customHeight="1" x14ac:dyDescent="0.2"/>
    <row r="174" s="733" customFormat="1" ht="21.75" customHeight="1" x14ac:dyDescent="0.2"/>
    <row r="175" s="733" customFormat="1" ht="21.75" customHeight="1" x14ac:dyDescent="0.2"/>
    <row r="176" s="733" customFormat="1" ht="21.75" customHeight="1" x14ac:dyDescent="0.2"/>
    <row r="177" s="733" customFormat="1" ht="21.75" customHeight="1" x14ac:dyDescent="0.2"/>
    <row r="178" s="733" customFormat="1" ht="21.75" customHeight="1" x14ac:dyDescent="0.2"/>
    <row r="179" s="733" customFormat="1" ht="21.75" customHeight="1" x14ac:dyDescent="0.2"/>
    <row r="180" s="733" customFormat="1" ht="21.75" customHeight="1" x14ac:dyDescent="0.2"/>
    <row r="181" s="733" customFormat="1" ht="21.75" customHeight="1" x14ac:dyDescent="0.2"/>
    <row r="182" s="733" customFormat="1" ht="21.75" customHeight="1" x14ac:dyDescent="0.2"/>
    <row r="183" s="733" customFormat="1" ht="21.75" customHeight="1" x14ac:dyDescent="0.2"/>
    <row r="184" s="733" customFormat="1" ht="21.75" customHeight="1" x14ac:dyDescent="0.2"/>
    <row r="185" s="733" customFormat="1" ht="21.75" customHeight="1" x14ac:dyDescent="0.2"/>
    <row r="186" s="733" customFormat="1" ht="21.75" customHeight="1" x14ac:dyDescent="0.2"/>
    <row r="187" s="733" customFormat="1" ht="21.75" customHeight="1" x14ac:dyDescent="0.2"/>
    <row r="188" s="733" customFormat="1" ht="21.75" customHeight="1" x14ac:dyDescent="0.2"/>
    <row r="189" s="733" customFormat="1" ht="21.75" customHeight="1" x14ac:dyDescent="0.2"/>
    <row r="190" s="733" customFormat="1" ht="21.75" customHeight="1" x14ac:dyDescent="0.2"/>
    <row r="191" s="733" customFormat="1" ht="21.75" customHeight="1" x14ac:dyDescent="0.2"/>
    <row r="192" s="733" customFormat="1" ht="21.75" customHeight="1" x14ac:dyDescent="0.2"/>
    <row r="193" s="733" customFormat="1" ht="21.75" customHeight="1" x14ac:dyDescent="0.2"/>
    <row r="194" s="733" customFormat="1" ht="21.75" customHeight="1" x14ac:dyDescent="0.2"/>
    <row r="195" s="733" customFormat="1" ht="21.75" customHeight="1" x14ac:dyDescent="0.2"/>
    <row r="196" s="733" customFormat="1" ht="21.75" customHeight="1" x14ac:dyDescent="0.2"/>
    <row r="197" s="733" customFormat="1" ht="21.75" customHeight="1" x14ac:dyDescent="0.2"/>
    <row r="198" s="733" customFormat="1" ht="21.75" customHeight="1" x14ac:dyDescent="0.2"/>
    <row r="199" s="733" customFormat="1" ht="21.75" customHeight="1" x14ac:dyDescent="0.2"/>
    <row r="200" s="733" customFormat="1" ht="21.75" customHeight="1" x14ac:dyDescent="0.2"/>
    <row r="201" s="733" customFormat="1" ht="21.75" customHeight="1" x14ac:dyDescent="0.2"/>
    <row r="202" s="733" customFormat="1" ht="21.75" customHeight="1" x14ac:dyDescent="0.2"/>
    <row r="203" s="733" customFormat="1" ht="21.75" customHeight="1" x14ac:dyDescent="0.2"/>
    <row r="204" s="733" customFormat="1" ht="21.75" customHeight="1" x14ac:dyDescent="0.2"/>
    <row r="205" s="733" customFormat="1" ht="21.75" customHeight="1" x14ac:dyDescent="0.2"/>
    <row r="206" s="733" customFormat="1" ht="21.75" customHeight="1" x14ac:dyDescent="0.2"/>
    <row r="207" s="733" customFormat="1" ht="21.75" customHeight="1" x14ac:dyDescent="0.2"/>
    <row r="208" s="733" customFormat="1" ht="21.75" customHeight="1" x14ac:dyDescent="0.2"/>
    <row r="209" s="733" customFormat="1" ht="21.75" customHeight="1" x14ac:dyDescent="0.2"/>
    <row r="210" s="733" customFormat="1" ht="21.75" customHeight="1" x14ac:dyDescent="0.2"/>
    <row r="211" s="733" customFormat="1" ht="21.75" customHeight="1" x14ac:dyDescent="0.2"/>
    <row r="212" s="733" customFormat="1" ht="21.75" customHeight="1" x14ac:dyDescent="0.2"/>
    <row r="213" s="733" customFormat="1" ht="21.75" customHeight="1" x14ac:dyDescent="0.2"/>
    <row r="214" s="733" customFormat="1" ht="21.75" customHeight="1" x14ac:dyDescent="0.2"/>
    <row r="215" s="733" customFormat="1" ht="21.75" customHeight="1" x14ac:dyDescent="0.2"/>
    <row r="216" s="733" customFormat="1" ht="21.75" customHeight="1" x14ac:dyDescent="0.2"/>
    <row r="217" s="733" customFormat="1" ht="21.75" customHeight="1" x14ac:dyDescent="0.2"/>
    <row r="218" s="733" customFormat="1" ht="21.75" customHeight="1" x14ac:dyDescent="0.2"/>
    <row r="219" s="733" customFormat="1" ht="21.75" customHeight="1" x14ac:dyDescent="0.2"/>
    <row r="220" s="733" customFormat="1" ht="21.75" customHeight="1" x14ac:dyDescent="0.2"/>
    <row r="221" s="733" customFormat="1" ht="21.75" customHeight="1" x14ac:dyDescent="0.2"/>
    <row r="222" s="733" customFormat="1" ht="21.75" customHeight="1" x14ac:dyDescent="0.2"/>
    <row r="223" s="733" customFormat="1" ht="21.75" customHeight="1" x14ac:dyDescent="0.2"/>
    <row r="224" s="733" customFormat="1" ht="21.75" customHeight="1" x14ac:dyDescent="0.2"/>
    <row r="225" s="733" customFormat="1" ht="21.75" customHeight="1" x14ac:dyDescent="0.2"/>
    <row r="226" s="733" customFormat="1" ht="21.75" customHeight="1" x14ac:dyDescent="0.2"/>
    <row r="227" s="733" customFormat="1" ht="21.75" customHeight="1" x14ac:dyDescent="0.2"/>
    <row r="228" s="733" customFormat="1" ht="21.75" customHeight="1" x14ac:dyDescent="0.2"/>
    <row r="229" s="733" customFormat="1" ht="21.75" customHeight="1" x14ac:dyDescent="0.2"/>
    <row r="230" s="733" customFormat="1" ht="21.75" customHeight="1" x14ac:dyDescent="0.2"/>
    <row r="231" s="733" customFormat="1" ht="21.75" customHeight="1" x14ac:dyDescent="0.2"/>
    <row r="232" s="733" customFormat="1" ht="21.75" customHeight="1" x14ac:dyDescent="0.2"/>
    <row r="233" s="733" customFormat="1" ht="21.75" customHeight="1" x14ac:dyDescent="0.2"/>
    <row r="234" s="733" customFormat="1" ht="21.75" customHeight="1" x14ac:dyDescent="0.2"/>
    <row r="235" s="733" customFormat="1" ht="21.75" customHeight="1" x14ac:dyDescent="0.2"/>
    <row r="236" s="733" customFormat="1" ht="21.75" customHeight="1" x14ac:dyDescent="0.2"/>
    <row r="237" s="733" customFormat="1" ht="21.75" customHeight="1" x14ac:dyDescent="0.2"/>
    <row r="238" s="733" customFormat="1" ht="21.75" customHeight="1" x14ac:dyDescent="0.2"/>
    <row r="239" s="733" customFormat="1" ht="21.75" customHeight="1" x14ac:dyDescent="0.2"/>
    <row r="240" s="733" customFormat="1" ht="21.75" customHeight="1" x14ac:dyDescent="0.2"/>
    <row r="241" s="733" customFormat="1" ht="21.75" customHeight="1" x14ac:dyDescent="0.2"/>
    <row r="242" s="733" customFormat="1" ht="21.75" customHeight="1" x14ac:dyDescent="0.2"/>
    <row r="243" s="733" customFormat="1" ht="21.75" customHeight="1" x14ac:dyDescent="0.2"/>
    <row r="244" s="733" customFormat="1" ht="21.75" customHeight="1" x14ac:dyDescent="0.2"/>
    <row r="245" s="733" customFormat="1" ht="21.75" customHeight="1" x14ac:dyDescent="0.2"/>
    <row r="246" s="733" customFormat="1" ht="21.75" customHeight="1" x14ac:dyDescent="0.2"/>
    <row r="247" s="733" customFormat="1" ht="21.75" customHeight="1" x14ac:dyDescent="0.2"/>
    <row r="248" s="733" customFormat="1" ht="21.75" customHeight="1" x14ac:dyDescent="0.2"/>
    <row r="249" s="733" customFormat="1" ht="21.75" customHeight="1" x14ac:dyDescent="0.2"/>
    <row r="250" s="733" customFormat="1" ht="21.75" customHeight="1" x14ac:dyDescent="0.2"/>
    <row r="251" s="733" customFormat="1" ht="21.75" customHeight="1" x14ac:dyDescent="0.2"/>
    <row r="252" s="733" customFormat="1" ht="21.75" customHeight="1" x14ac:dyDescent="0.2"/>
    <row r="253" s="733" customFormat="1" ht="21.75" customHeight="1" x14ac:dyDescent="0.2"/>
    <row r="254" s="733" customFormat="1" ht="21.75" customHeight="1" x14ac:dyDescent="0.2"/>
    <row r="255" s="733" customFormat="1" ht="21.75" customHeight="1" x14ac:dyDescent="0.2"/>
    <row r="256" s="733" customFormat="1" ht="21.75" customHeight="1" x14ac:dyDescent="0.2"/>
    <row r="257" s="733" customFormat="1" ht="21.75" customHeight="1" x14ac:dyDescent="0.2"/>
    <row r="258" s="733" customFormat="1" ht="21.75" customHeight="1" x14ac:dyDescent="0.2"/>
    <row r="259" s="733" customFormat="1" ht="21.75" customHeight="1" x14ac:dyDescent="0.2"/>
    <row r="260" s="733" customFormat="1" ht="21.75" customHeight="1" x14ac:dyDescent="0.2"/>
    <row r="261" s="733" customFormat="1" ht="21.75" customHeight="1" x14ac:dyDescent="0.2"/>
    <row r="262" s="733" customFormat="1" ht="21.75" customHeight="1" x14ac:dyDescent="0.2"/>
    <row r="263" s="733" customFormat="1" ht="21.75" customHeight="1" x14ac:dyDescent="0.2"/>
    <row r="264" s="733" customFormat="1" ht="21.75" customHeight="1" x14ac:dyDescent="0.2"/>
    <row r="265" s="733" customFormat="1" ht="21.75" customHeight="1" x14ac:dyDescent="0.2"/>
    <row r="266" s="733" customFormat="1" ht="21.75" customHeight="1" x14ac:dyDescent="0.2"/>
    <row r="267" s="733" customFormat="1" ht="21.75" customHeight="1" x14ac:dyDescent="0.2"/>
    <row r="268" s="733" customFormat="1" ht="21.75" customHeight="1" x14ac:dyDescent="0.2"/>
    <row r="269" s="733" customFormat="1" ht="21.75" customHeight="1" x14ac:dyDescent="0.2"/>
    <row r="270" s="733" customFormat="1" ht="21.75" customHeight="1" x14ac:dyDescent="0.2"/>
    <row r="271" s="733" customFormat="1" ht="21.75" customHeight="1" x14ac:dyDescent="0.2"/>
    <row r="272" s="733" customFormat="1" ht="21.75" customHeight="1" x14ac:dyDescent="0.2"/>
    <row r="273" s="733" customFormat="1" ht="21.75" customHeight="1" x14ac:dyDescent="0.2"/>
    <row r="274" s="733" customFormat="1" ht="21.75" customHeight="1" x14ac:dyDescent="0.2"/>
    <row r="275" s="733" customFormat="1" ht="21.75" customHeight="1" x14ac:dyDescent="0.2"/>
    <row r="276" s="733" customFormat="1" ht="21.75" customHeight="1" x14ac:dyDescent="0.2"/>
    <row r="277" s="733" customFormat="1" ht="21.75" customHeight="1" x14ac:dyDescent="0.2"/>
    <row r="278" s="733" customFormat="1" ht="21.75" customHeight="1" x14ac:dyDescent="0.2"/>
    <row r="279" s="733" customFormat="1" ht="21.75" customHeight="1" x14ac:dyDescent="0.2"/>
    <row r="280" s="733" customFormat="1" ht="21.75" customHeight="1" x14ac:dyDescent="0.2"/>
    <row r="281" s="733" customFormat="1" ht="21.75" customHeight="1" x14ac:dyDescent="0.2"/>
    <row r="282" s="733" customFormat="1" ht="21.75" customHeight="1" x14ac:dyDescent="0.2"/>
    <row r="283" s="733" customFormat="1" ht="21.75" customHeight="1" x14ac:dyDescent="0.2"/>
    <row r="284" s="733" customFormat="1" ht="21.75" customHeight="1" x14ac:dyDescent="0.2"/>
    <row r="285" s="733" customFormat="1" ht="21.75" customHeight="1" x14ac:dyDescent="0.2"/>
    <row r="286" s="733" customFormat="1" ht="21.75" customHeight="1" x14ac:dyDescent="0.2"/>
    <row r="287" s="733" customFormat="1" ht="21.75" customHeight="1" x14ac:dyDescent="0.2"/>
    <row r="288" s="733" customFormat="1" ht="21.75" customHeight="1" x14ac:dyDescent="0.2"/>
    <row r="289" s="733" customFormat="1" ht="21.75" customHeight="1" x14ac:dyDescent="0.2"/>
    <row r="290" s="733" customFormat="1" ht="21.75" customHeight="1" x14ac:dyDescent="0.2"/>
    <row r="291" s="733" customFormat="1" ht="21.75" customHeight="1" x14ac:dyDescent="0.2"/>
    <row r="292" s="733" customFormat="1" ht="21.75" customHeight="1" x14ac:dyDescent="0.2"/>
    <row r="293" s="733" customFormat="1" ht="21.75" customHeight="1" x14ac:dyDescent="0.2"/>
    <row r="294" s="733" customFormat="1" ht="21.75" customHeight="1" x14ac:dyDescent="0.2"/>
    <row r="295" s="733" customFormat="1" ht="21.75" customHeight="1" x14ac:dyDescent="0.2"/>
    <row r="296" s="733" customFormat="1" ht="21.75" customHeight="1" x14ac:dyDescent="0.2"/>
    <row r="297" s="733" customFormat="1" ht="21.75" customHeight="1" x14ac:dyDescent="0.2"/>
    <row r="298" s="733" customFormat="1" ht="21.75" customHeight="1" x14ac:dyDescent="0.2"/>
    <row r="299" s="733" customFormat="1" ht="21.75" customHeight="1" x14ac:dyDescent="0.2"/>
    <row r="300" s="733" customFormat="1" ht="21.75" customHeight="1" x14ac:dyDescent="0.2"/>
    <row r="301" s="733" customFormat="1" ht="21.75" customHeight="1" x14ac:dyDescent="0.2"/>
    <row r="302" s="733" customFormat="1" ht="21.75" customHeight="1" x14ac:dyDescent="0.2"/>
    <row r="303" s="733" customFormat="1" ht="21.75" customHeight="1" x14ac:dyDescent="0.2"/>
    <row r="304" s="733" customFormat="1" ht="21.75" customHeight="1" x14ac:dyDescent="0.2"/>
    <row r="305" s="733" customFormat="1" ht="21.75" customHeight="1" x14ac:dyDescent="0.2"/>
    <row r="306" s="733" customFormat="1" ht="21.75" customHeight="1" x14ac:dyDescent="0.2"/>
    <row r="307" s="733" customFormat="1" ht="21.75" customHeight="1" x14ac:dyDescent="0.2"/>
    <row r="308" s="733" customFormat="1" ht="21.75" customHeight="1" x14ac:dyDescent="0.2"/>
    <row r="309" s="733" customFormat="1" ht="21.75" customHeight="1" x14ac:dyDescent="0.2"/>
    <row r="310" s="733" customFormat="1" ht="21.75" customHeight="1" x14ac:dyDescent="0.2"/>
    <row r="311" s="733" customFormat="1" ht="21.75" customHeight="1" x14ac:dyDescent="0.2"/>
    <row r="312" s="733" customFormat="1" ht="21.75" customHeight="1" x14ac:dyDescent="0.2"/>
    <row r="313" s="733" customFormat="1" ht="21.75" customHeight="1" x14ac:dyDescent="0.2"/>
    <row r="314" s="733" customFormat="1" ht="21.75" customHeight="1" x14ac:dyDescent="0.2"/>
    <row r="315" s="733" customFormat="1" ht="21.75" customHeight="1" x14ac:dyDescent="0.2"/>
    <row r="316" s="733" customFormat="1" ht="21.75" customHeight="1" x14ac:dyDescent="0.2"/>
    <row r="317" s="733" customFormat="1" ht="21.75" customHeight="1" x14ac:dyDescent="0.2"/>
    <row r="318" s="733" customFormat="1" ht="21.75" customHeight="1" x14ac:dyDescent="0.2"/>
    <row r="319" s="733" customFormat="1" ht="21.75" customHeight="1" x14ac:dyDescent="0.2"/>
    <row r="320" s="733" customFormat="1" ht="21.75" customHeight="1" x14ac:dyDescent="0.2"/>
    <row r="321" s="733" customFormat="1" ht="21.75" customHeight="1" x14ac:dyDescent="0.2"/>
    <row r="322" s="733" customFormat="1" ht="21.75" customHeight="1" x14ac:dyDescent="0.2"/>
    <row r="323" s="733" customFormat="1" ht="21.75" customHeight="1" x14ac:dyDescent="0.2"/>
    <row r="324" s="733" customFormat="1" ht="21.75" customHeight="1" x14ac:dyDescent="0.2"/>
    <row r="325" s="733" customFormat="1" ht="21.75" customHeight="1" x14ac:dyDescent="0.2"/>
    <row r="326" s="733" customFormat="1" ht="21.75" customHeight="1" x14ac:dyDescent="0.2"/>
    <row r="327" s="733" customFormat="1" ht="21.75" customHeight="1" x14ac:dyDescent="0.2"/>
    <row r="328" s="733" customFormat="1" ht="21.75" customHeight="1" x14ac:dyDescent="0.2"/>
    <row r="329" s="733" customFormat="1" ht="21.75" customHeight="1" x14ac:dyDescent="0.2"/>
    <row r="330" s="733" customFormat="1" ht="21.75" customHeight="1" x14ac:dyDescent="0.2"/>
    <row r="331" s="733" customFormat="1" ht="21.75" customHeight="1" x14ac:dyDescent="0.2"/>
    <row r="332" s="733" customFormat="1" ht="21.75" customHeight="1" x14ac:dyDescent="0.2"/>
    <row r="333" s="733" customFormat="1" ht="21.75" customHeight="1" x14ac:dyDescent="0.2"/>
    <row r="334" s="733" customFormat="1" ht="21.75" customHeight="1" x14ac:dyDescent="0.2"/>
    <row r="335" s="733" customFormat="1" ht="21.75" customHeight="1" x14ac:dyDescent="0.2"/>
    <row r="336" s="733" customFormat="1" ht="21.75" customHeight="1" x14ac:dyDescent="0.2"/>
    <row r="337" s="733" customFormat="1" ht="21.75" customHeight="1" x14ac:dyDescent="0.2"/>
    <row r="338" s="733" customFormat="1" ht="21.75" customHeight="1" x14ac:dyDescent="0.2"/>
    <row r="339" s="733" customFormat="1" ht="21.75" customHeight="1" x14ac:dyDescent="0.2"/>
    <row r="340" s="733" customFormat="1" ht="21.75" customHeight="1" x14ac:dyDescent="0.2"/>
    <row r="341" s="733" customFormat="1" ht="21.75" customHeight="1" x14ac:dyDescent="0.2"/>
    <row r="342" s="733" customFormat="1" ht="21.75" customHeight="1" x14ac:dyDescent="0.2"/>
    <row r="343" s="733" customFormat="1" ht="21.75" customHeight="1" x14ac:dyDescent="0.2"/>
    <row r="344" s="733" customFormat="1" ht="21.75" customHeight="1" x14ac:dyDescent="0.2"/>
    <row r="345" s="733" customFormat="1" ht="21.75" customHeight="1" x14ac:dyDescent="0.2"/>
    <row r="346" s="733" customFormat="1" ht="21.75" customHeight="1" x14ac:dyDescent="0.2"/>
    <row r="347" s="733" customFormat="1" ht="21.75" customHeight="1" x14ac:dyDescent="0.2"/>
    <row r="348" s="733" customFormat="1" ht="21.75" customHeight="1" x14ac:dyDescent="0.2"/>
    <row r="349" s="733" customFormat="1" ht="21.75" customHeight="1" x14ac:dyDescent="0.2"/>
    <row r="350" s="733" customFormat="1" ht="21.75" customHeight="1" x14ac:dyDescent="0.2"/>
    <row r="351" s="733" customFormat="1" ht="21.75" customHeight="1" x14ac:dyDescent="0.2"/>
    <row r="352" s="733" customFormat="1" ht="21.75" customHeight="1" x14ac:dyDescent="0.2"/>
    <row r="353" s="733" customFormat="1" ht="21.75" customHeight="1" x14ac:dyDescent="0.2"/>
    <row r="354" s="733" customFormat="1" ht="21.75" customHeight="1" x14ac:dyDescent="0.2"/>
    <row r="355" s="733" customFormat="1" ht="21.75" customHeight="1" x14ac:dyDescent="0.2"/>
    <row r="356" s="733" customFormat="1" ht="21.75" customHeight="1" x14ac:dyDescent="0.2"/>
    <row r="357" s="733" customFormat="1" ht="21.75" customHeight="1" x14ac:dyDescent="0.2"/>
    <row r="358" s="733" customFormat="1" ht="21.75" customHeight="1" x14ac:dyDescent="0.2"/>
    <row r="359" s="733" customFormat="1" ht="21.75" customHeight="1" x14ac:dyDescent="0.2"/>
    <row r="360" s="733" customFormat="1" ht="21.75" customHeight="1" x14ac:dyDescent="0.2"/>
    <row r="361" s="733" customFormat="1" ht="21.75" customHeight="1" x14ac:dyDescent="0.2"/>
    <row r="362" s="733" customFormat="1" ht="21.75" customHeight="1" x14ac:dyDescent="0.2"/>
    <row r="363" s="733" customFormat="1" ht="21.75" customHeight="1" x14ac:dyDescent="0.2"/>
    <row r="364" s="733" customFormat="1" ht="21.75" customHeight="1" x14ac:dyDescent="0.2"/>
    <row r="365" s="733" customFormat="1" ht="21.75" customHeight="1" x14ac:dyDescent="0.2"/>
    <row r="366" s="733" customFormat="1" ht="21.75" customHeight="1" x14ac:dyDescent="0.2"/>
    <row r="367" s="733" customFormat="1" ht="21.75" customHeight="1" x14ac:dyDescent="0.2"/>
    <row r="368" s="733" customFormat="1" ht="21.75" customHeight="1" x14ac:dyDescent="0.2"/>
    <row r="369" s="733" customFormat="1" ht="21.75" customHeight="1" x14ac:dyDescent="0.2"/>
    <row r="370" s="733" customFormat="1" ht="21.75" customHeight="1" x14ac:dyDescent="0.2"/>
    <row r="371" s="733" customFormat="1" ht="21.75" customHeight="1" x14ac:dyDescent="0.2"/>
    <row r="372" s="733" customFormat="1" ht="21.75" customHeight="1" x14ac:dyDescent="0.2"/>
    <row r="373" s="733" customFormat="1" ht="21.75" customHeight="1" x14ac:dyDescent="0.2"/>
    <row r="374" s="733" customFormat="1" ht="21.75" customHeight="1" x14ac:dyDescent="0.2"/>
    <row r="375" s="733" customFormat="1" ht="21.75" customHeight="1" x14ac:dyDescent="0.2"/>
    <row r="376" s="733" customFormat="1" ht="21.75" customHeight="1" x14ac:dyDescent="0.2"/>
    <row r="377" s="733" customFormat="1" ht="21.75" customHeight="1" x14ac:dyDescent="0.2"/>
    <row r="378" s="733" customFormat="1" ht="21.75" customHeight="1" x14ac:dyDescent="0.2"/>
    <row r="379" s="733" customFormat="1" ht="21.75" customHeight="1" x14ac:dyDescent="0.2"/>
    <row r="380" s="733" customFormat="1" ht="21.75" customHeight="1" x14ac:dyDescent="0.2"/>
    <row r="381" s="733" customFormat="1" ht="21.75" customHeight="1" x14ac:dyDescent="0.2"/>
    <row r="382" s="733" customFormat="1" ht="21.75" customHeight="1" x14ac:dyDescent="0.2"/>
    <row r="383" s="733" customFormat="1" ht="21.75" customHeight="1" x14ac:dyDescent="0.2"/>
    <row r="384" s="733" customFormat="1" ht="21.75" customHeight="1" x14ac:dyDescent="0.2"/>
    <row r="385" s="733" customFormat="1" ht="21.75" customHeight="1" x14ac:dyDescent="0.2"/>
    <row r="386" s="733" customFormat="1" ht="21.75" customHeight="1" x14ac:dyDescent="0.2"/>
    <row r="387" s="733" customFormat="1" ht="21.75" customHeight="1" x14ac:dyDescent="0.2"/>
    <row r="388" s="733" customFormat="1" ht="21.75" customHeight="1" x14ac:dyDescent="0.2"/>
    <row r="389" s="733" customFormat="1" ht="21.75" customHeight="1" x14ac:dyDescent="0.2"/>
    <row r="390" s="733" customFormat="1" ht="21.75" customHeight="1" x14ac:dyDescent="0.2"/>
    <row r="391" s="733" customFormat="1" ht="21.75" customHeight="1" x14ac:dyDescent="0.2"/>
    <row r="392" s="733" customFormat="1" ht="21.75" customHeight="1" x14ac:dyDescent="0.2"/>
    <row r="393" s="733" customFormat="1" ht="21.75" customHeight="1" x14ac:dyDescent="0.2"/>
    <row r="394" s="733" customFormat="1" ht="21.75" customHeight="1" x14ac:dyDescent="0.2"/>
    <row r="395" s="733" customFormat="1" ht="21.75" customHeight="1" x14ac:dyDescent="0.2"/>
    <row r="396" s="733" customFormat="1" ht="21.75" customHeight="1" x14ac:dyDescent="0.2"/>
    <row r="397" s="733" customFormat="1" ht="21.75" customHeight="1" x14ac:dyDescent="0.2"/>
    <row r="398" s="733" customFormat="1" ht="21.75" customHeight="1" x14ac:dyDescent="0.2"/>
    <row r="399" s="733" customFormat="1" ht="21.75" customHeight="1" x14ac:dyDescent="0.2"/>
    <row r="400" s="733" customFormat="1" ht="21.75" customHeight="1" x14ac:dyDescent="0.2"/>
    <row r="401" spans="10:26" s="733" customFormat="1" ht="21.75" customHeight="1" x14ac:dyDescent="0.2"/>
    <row r="402" spans="10:26" s="733" customFormat="1" ht="21.75" customHeight="1" x14ac:dyDescent="0.2"/>
    <row r="403" spans="10:26" s="733" customFormat="1" ht="21.75" customHeight="1" x14ac:dyDescent="0.2"/>
    <row r="404" spans="10:26" s="733" customFormat="1" ht="21.75" customHeight="1" x14ac:dyDescent="0.2"/>
    <row r="405" spans="10:26" s="733" customFormat="1" ht="21.75" customHeight="1" x14ac:dyDescent="0.2"/>
    <row r="406" spans="10:26" s="733" customFormat="1" ht="21.75" customHeight="1" x14ac:dyDescent="0.2"/>
    <row r="407" spans="10:26" s="733" customFormat="1" ht="21.75" customHeight="1" x14ac:dyDescent="0.2"/>
    <row r="408" spans="10:26" s="733" customFormat="1" ht="21.75" customHeight="1" x14ac:dyDescent="0.2"/>
    <row r="409" spans="10:26" s="1888" customFormat="1" ht="21.75" customHeight="1" x14ac:dyDescent="0.2">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x14ac:dyDescent="0.2">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x14ac:dyDescent="0.2">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x14ac:dyDescent="0.2">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x14ac:dyDescent="0.2">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x14ac:dyDescent="0.2">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x14ac:dyDescent="0.2">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x14ac:dyDescent="0.2">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x14ac:dyDescent="0.2">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x14ac:dyDescent="0.2">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x14ac:dyDescent="0.2">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x14ac:dyDescent="0.2">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x14ac:dyDescent="0.2">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x14ac:dyDescent="0.2">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x14ac:dyDescent="0.2">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x14ac:dyDescent="0.2">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x14ac:dyDescent="0.2">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x14ac:dyDescent="0.2">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x14ac:dyDescent="0.2">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x14ac:dyDescent="0.2">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x14ac:dyDescent="0.2">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x14ac:dyDescent="0.2">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x14ac:dyDescent="0.2">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x14ac:dyDescent="0.2">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x14ac:dyDescent="0.2">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x14ac:dyDescent="0.2">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x14ac:dyDescent="0.2">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x14ac:dyDescent="0.2">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x14ac:dyDescent="0.2">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x14ac:dyDescent="0.2">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x14ac:dyDescent="0.2">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x14ac:dyDescent="0.2">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x14ac:dyDescent="0.2">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x14ac:dyDescent="0.2">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x14ac:dyDescent="0.2">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x14ac:dyDescent="0.2">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x14ac:dyDescent="0.2">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x14ac:dyDescent="0.2">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x14ac:dyDescent="0.2">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x14ac:dyDescent="0.2">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x14ac:dyDescent="0.2">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x14ac:dyDescent="0.2">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x14ac:dyDescent="0.2">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x14ac:dyDescent="0.2">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x14ac:dyDescent="0.2">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x14ac:dyDescent="0.2">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x14ac:dyDescent="0.2">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x14ac:dyDescent="0.2">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x14ac:dyDescent="0.2">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x14ac:dyDescent="0.2">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x14ac:dyDescent="0.2">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x14ac:dyDescent="0.2">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x14ac:dyDescent="0.2">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x14ac:dyDescent="0.2">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x14ac:dyDescent="0.2">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x14ac:dyDescent="0.2">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x14ac:dyDescent="0.2">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x14ac:dyDescent="0.2">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x14ac:dyDescent="0.2">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x14ac:dyDescent="0.2">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x14ac:dyDescent="0.2">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x14ac:dyDescent="0.2">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x14ac:dyDescent="0.2">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x14ac:dyDescent="0.2">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x14ac:dyDescent="0.2">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x14ac:dyDescent="0.2">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x14ac:dyDescent="0.2">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x14ac:dyDescent="0.2">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x14ac:dyDescent="0.2">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x14ac:dyDescent="0.2">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x14ac:dyDescent="0.2">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x14ac:dyDescent="0.2">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x14ac:dyDescent="0.2">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x14ac:dyDescent="0.2">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x14ac:dyDescent="0.2">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x14ac:dyDescent="0.2">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x14ac:dyDescent="0.2">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x14ac:dyDescent="0.2">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x14ac:dyDescent="0.2">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x14ac:dyDescent="0.2">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x14ac:dyDescent="0.2">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x14ac:dyDescent="0.2">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x14ac:dyDescent="0.2">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x14ac:dyDescent="0.2">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x14ac:dyDescent="0.2">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x14ac:dyDescent="0.2">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x14ac:dyDescent="0.2">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x14ac:dyDescent="0.2">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x14ac:dyDescent="0.2">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x14ac:dyDescent="0.2">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x14ac:dyDescent="0.2">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x14ac:dyDescent="0.2">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x14ac:dyDescent="0.2">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x14ac:dyDescent="0.2">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x14ac:dyDescent="0.2">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x14ac:dyDescent="0.2">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x14ac:dyDescent="0.2">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x14ac:dyDescent="0.2">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x14ac:dyDescent="0.2">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x14ac:dyDescent="0.2">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x14ac:dyDescent="0.2">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x14ac:dyDescent="0.2">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x14ac:dyDescent="0.2">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x14ac:dyDescent="0.2">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view="pageBreakPreview" zoomScale="90" zoomScaleNormal="70" zoomScaleSheetLayoutView="90" workbookViewId="0">
      <selection activeCell="J42" sqref="J42"/>
    </sheetView>
  </sheetViews>
  <sheetFormatPr baseColWidth="10" defaultColWidth="9" defaultRowHeight="13" x14ac:dyDescent="0.2"/>
  <cols>
    <col min="1" max="1" width="9" style="264" customWidth="1"/>
    <col min="2" max="2" width="20.6640625" style="662" customWidth="1"/>
    <col min="3" max="3" width="11.83203125" style="662" customWidth="1"/>
    <col min="4" max="4" width="40.5" style="264" customWidth="1"/>
    <col min="5" max="5" width="15.66406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5.1640625" style="1602" customWidth="1"/>
    <col min="12" max="12" width="16.33203125" style="264" customWidth="1"/>
    <col min="13" max="13" width="13" style="264" customWidth="1"/>
    <col min="14" max="14" width="13.6640625" style="1518" customWidth="1"/>
    <col min="15" max="15" width="5.1640625" style="1518" customWidth="1"/>
    <col min="16" max="16" width="25.6640625" style="1518" customWidth="1"/>
    <col min="17" max="17" width="13.6640625" style="1518" customWidth="1"/>
    <col min="18" max="18" width="20.5" style="1518" customWidth="1"/>
    <col min="19" max="19" width="13.1640625" style="1518" customWidth="1"/>
    <col min="20" max="37" width="9" style="1518"/>
    <col min="38" max="16384" width="9" style="264"/>
  </cols>
  <sheetData>
    <row r="1" spans="1:37" s="299" customFormat="1" ht="20" x14ac:dyDescent="0.2">
      <c r="A1" s="1509" t="s">
        <v>1313</v>
      </c>
      <c r="B1" s="721"/>
      <c r="C1" s="1513" t="s">
        <v>4711</v>
      </c>
      <c r="D1" s="1496" t="s">
        <v>70</v>
      </c>
      <c r="E1" s="1497" t="s">
        <v>1111</v>
      </c>
      <c r="F1" s="1173">
        <f ca="1">J53</f>
        <v>21.83</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x14ac:dyDescent="0.15">
      <c r="A2" s="1519" t="s">
        <v>1239</v>
      </c>
      <c r="B2" s="1520">
        <f ca="1">C40+J29+L46</f>
        <v>265</v>
      </c>
      <c r="C2" s="1521" t="s">
        <v>1240</v>
      </c>
      <c r="D2" s="1521"/>
      <c r="E2" s="1522"/>
      <c r="F2" s="1523"/>
      <c r="G2" s="2884"/>
      <c r="H2" s="2873"/>
      <c r="I2" s="2873"/>
      <c r="J2" s="2873"/>
      <c r="K2" s="2874"/>
      <c r="L2" s="2873"/>
      <c r="M2" s="2873"/>
    </row>
    <row r="3" spans="1:37" ht="18" customHeight="1" thickBot="1" x14ac:dyDescent="0.25">
      <c r="A3" s="1524" t="s">
        <v>1241</v>
      </c>
      <c r="B3" s="1525">
        <f ca="1">IF(ISERROR(B2*10000/F43),0,ROUND(B2*10000/F43,0))</f>
        <v>45060</v>
      </c>
      <c r="C3" s="1521" t="s">
        <v>1242</v>
      </c>
      <c r="D3" s="1521"/>
      <c r="E3" s="1522"/>
      <c r="F3" s="1523"/>
      <c r="G3" s="2884"/>
      <c r="H3" s="691" t="s">
        <v>1312</v>
      </c>
      <c r="I3" s="1516"/>
      <c r="J3" s="1516"/>
      <c r="K3" s="1517"/>
      <c r="L3" s="1516"/>
      <c r="M3" s="1516"/>
    </row>
    <row r="4" spans="1:37" ht="18" customHeight="1" x14ac:dyDescent="0.2">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x14ac:dyDescent="0.2">
      <c r="A5" s="305">
        <v>1</v>
      </c>
      <c r="B5" s="306" t="s">
        <v>1125</v>
      </c>
      <c r="C5" s="1182">
        <f ca="1">C6+C10+C12</f>
        <v>22</v>
      </c>
      <c r="D5" s="1498" t="s">
        <v>1126</v>
      </c>
      <c r="E5" s="1183"/>
      <c r="F5" s="1184"/>
      <c r="G5" s="1518"/>
      <c r="H5" s="305">
        <v>1</v>
      </c>
      <c r="I5" s="306" t="s">
        <v>1125</v>
      </c>
      <c r="J5" s="1182">
        <f ca="1">J6+J10+J12</f>
        <v>0</v>
      </c>
      <c r="K5" s="1498" t="s">
        <v>1126</v>
      </c>
      <c r="L5" s="1183"/>
      <c r="M5" s="1184"/>
    </row>
    <row r="6" spans="1:37" ht="18" customHeight="1" x14ac:dyDescent="0.2">
      <c r="A6" s="1181" t="s">
        <v>822</v>
      </c>
      <c r="B6" s="3634" t="s">
        <v>1127</v>
      </c>
      <c r="C6" s="1186">
        <f ca="1">ROUND(F6*F8*F7*(1-F9)/10000,0)</f>
        <v>22</v>
      </c>
      <c r="D6" s="160" t="s">
        <v>2609</v>
      </c>
      <c r="E6" s="308" t="s">
        <v>1129</v>
      </c>
      <c r="F6" s="309">
        <f ca="1">INDIRECT("'数据-取费表'!u"&amp;$G$1)</f>
        <v>11.34</v>
      </c>
      <c r="G6" s="1518"/>
      <c r="H6" s="1181" t="s">
        <v>822</v>
      </c>
      <c r="I6" s="3634" t="s">
        <v>1127</v>
      </c>
      <c r="J6" s="307">
        <f ca="1">ROUND(M6*M8*M7*(1-M9)/10000,0)</f>
        <v>0</v>
      </c>
      <c r="K6" s="160" t="s">
        <v>2608</v>
      </c>
      <c r="L6" s="308" t="s">
        <v>1129</v>
      </c>
      <c r="M6" s="309">
        <f ca="1">INDIRECT("'数据-取费表'!z"&amp;$G$1)</f>
        <v>0</v>
      </c>
    </row>
    <row r="7" spans="1:37" ht="18" customHeight="1" x14ac:dyDescent="0.2">
      <c r="A7" s="1185"/>
      <c r="B7" s="3635"/>
      <c r="C7" s="1187"/>
      <c r="D7" s="313"/>
      <c r="E7" s="1188" t="s">
        <v>1130</v>
      </c>
      <c r="F7" s="309">
        <f ca="1">IF(INDIRECT("'数据-取费表'!ah"&amp;$G$1)="",INDIRECT("'数据-取费表'!k"&amp;$G$1),INDIRECT("'数据-取费表'!ah"&amp;$G$1))</f>
        <v>58.81</v>
      </c>
      <c r="G7" s="1518"/>
      <c r="H7" s="310"/>
      <c r="I7" s="3635"/>
      <c r="J7" s="312"/>
      <c r="K7" s="313"/>
      <c r="L7" s="308" t="s">
        <v>1130</v>
      </c>
      <c r="M7" s="309">
        <f ca="1">F7</f>
        <v>58.81</v>
      </c>
    </row>
    <row r="8" spans="1:37" ht="18" customHeight="1" x14ac:dyDescent="0.2">
      <c r="A8" s="310"/>
      <c r="B8" s="3635"/>
      <c r="C8" s="312"/>
      <c r="D8" s="313"/>
      <c r="E8" s="308" t="s">
        <v>1131</v>
      </c>
      <c r="F8" s="309">
        <f ca="1">INDIRECT("'数据-取费表'!ai"&amp;$G$1)</f>
        <v>365</v>
      </c>
      <c r="G8" s="1518"/>
      <c r="H8" s="310"/>
      <c r="I8" s="3635"/>
      <c r="J8" s="312"/>
      <c r="K8" s="313"/>
      <c r="L8" s="308" t="s">
        <v>1131</v>
      </c>
      <c r="M8" s="309">
        <f ca="1">INDIRECT("'数据-取费表'!ai"&amp;$G$1)</f>
        <v>365</v>
      </c>
    </row>
    <row r="9" spans="1:37" ht="18" customHeight="1" x14ac:dyDescent="0.2">
      <c r="A9" s="310"/>
      <c r="B9" s="3636"/>
      <c r="C9" s="312"/>
      <c r="D9" s="313"/>
      <c r="E9" s="308" t="s">
        <v>1132</v>
      </c>
      <c r="F9" s="318">
        <f ca="1">INDIRECT("'数据-取费表'!w"&amp;$G$1)</f>
        <v>0.1</v>
      </c>
      <c r="G9" s="1518"/>
      <c r="H9" s="310"/>
      <c r="I9" s="3636"/>
      <c r="J9" s="312"/>
      <c r="K9" s="313"/>
      <c r="L9" s="319" t="s">
        <v>1132</v>
      </c>
      <c r="M9" s="320">
        <f ca="1">INDIRECT("'数据-取费表'!ab"&amp;$G$1)</f>
        <v>0</v>
      </c>
    </row>
    <row r="10" spans="1:37" ht="18" customHeight="1" x14ac:dyDescent="0.2">
      <c r="A10" s="1181" t="s">
        <v>826</v>
      </c>
      <c r="B10" s="1499" t="s">
        <v>1133</v>
      </c>
      <c r="C10" s="322">
        <f ca="1">ROUND(IF(F10="押一",C6/12*F11,IF(F10="押二",C6/12*2*F11,IF(F10="押三",C6/12*3*F11,C11*F11))),0)</f>
        <v>0</v>
      </c>
      <c r="D10" s="1500" t="s">
        <v>2617</v>
      </c>
      <c r="E10" s="319" t="s">
        <v>1134</v>
      </c>
      <c r="F10" s="1228" t="s">
        <v>4715</v>
      </c>
      <c r="G10" s="1518"/>
      <c r="H10" s="1181" t="s">
        <v>826</v>
      </c>
      <c r="I10" s="1499" t="s">
        <v>1133</v>
      </c>
      <c r="J10" s="307">
        <f ca="1">ROUND(IF(M10="押一",J6/12*M11,IF(M10="押二",J6/12*2*M11,IF(M10="押三",J6/12*3*M11,J11*M11))),0)</f>
        <v>0</v>
      </c>
      <c r="K10" s="1500" t="s">
        <v>2616</v>
      </c>
      <c r="L10" s="319" t="s">
        <v>1134</v>
      </c>
      <c r="M10" s="1228" t="s">
        <v>1135</v>
      </c>
    </row>
    <row r="11" spans="1:37" ht="18" customHeight="1" x14ac:dyDescent="0.2">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x14ac:dyDescent="0.25">
      <c r="A12" s="1195" t="s">
        <v>862</v>
      </c>
      <c r="B12" s="1503" t="s">
        <v>1137</v>
      </c>
      <c r="C12" s="1196"/>
      <c r="D12" s="1197"/>
      <c r="E12" s="1202"/>
      <c r="F12" s="1198"/>
      <c r="G12" s="1518"/>
      <c r="H12" s="1195" t="s">
        <v>862</v>
      </c>
      <c r="I12" s="1503" t="s">
        <v>1137</v>
      </c>
      <c r="J12" s="1196"/>
      <c r="K12" s="1210"/>
      <c r="L12" s="1202"/>
      <c r="M12" s="1211"/>
    </row>
    <row r="13" spans="1:37" ht="18" customHeight="1" thickTop="1" x14ac:dyDescent="0.2">
      <c r="A13" s="1191">
        <v>2</v>
      </c>
      <c r="B13" s="1192" t="s">
        <v>1138</v>
      </c>
      <c r="C13" s="316">
        <f ca="1">ROUND(C29*F13,0)</f>
        <v>22</v>
      </c>
      <c r="D13" s="1193" t="s">
        <v>1139</v>
      </c>
      <c r="E13" s="1193" t="s">
        <v>1140</v>
      </c>
      <c r="F13" s="1194">
        <f ca="1">INDIRECT("'数据-取费表'!y"&amp;$G$1)</f>
        <v>0.8</v>
      </c>
      <c r="G13" s="1518"/>
      <c r="H13" s="1191">
        <v>2</v>
      </c>
      <c r="I13" s="1192" t="s">
        <v>1138</v>
      </c>
      <c r="J13" s="1180">
        <f ca="1">ROUND(J14*J15,0)</f>
        <v>22</v>
      </c>
      <c r="K13" s="1199" t="s">
        <v>1139</v>
      </c>
      <c r="L13" s="1526"/>
      <c r="M13" s="1527"/>
    </row>
    <row r="14" spans="1:37" ht="18" customHeight="1" x14ac:dyDescent="0.2">
      <c r="A14" s="1093" t="s">
        <v>821</v>
      </c>
      <c r="B14" s="308" t="s">
        <v>1141</v>
      </c>
      <c r="C14" s="324">
        <f ca="1">INDIRECT("'数据-取费表'!m"&amp;$G$1)+INDIRECT("'数据-取费表'!t"&amp;$G$1)</f>
        <v>18</v>
      </c>
      <c r="D14" s="1479" t="s">
        <v>1142</v>
      </c>
      <c r="E14" s="1476"/>
      <c r="F14" s="325"/>
      <c r="G14" s="1518"/>
      <c r="H14" s="1093" t="s">
        <v>822</v>
      </c>
      <c r="I14" s="308" t="s">
        <v>1143</v>
      </c>
      <c r="J14" s="24">
        <f ca="1">C29</f>
        <v>28</v>
      </c>
      <c r="K14" s="15"/>
      <c r="L14" s="896"/>
      <c r="M14" s="897"/>
    </row>
    <row r="15" spans="1:37" s="1531" customFormat="1" ht="18" customHeight="1" thickBot="1" x14ac:dyDescent="0.25">
      <c r="A15" s="1093" t="s">
        <v>823</v>
      </c>
      <c r="B15" s="308" t="s">
        <v>1144</v>
      </c>
      <c r="C15" s="24">
        <f ca="1">ROUND(C14*F15,0)</f>
        <v>1</v>
      </c>
      <c r="D15" s="326" t="s">
        <v>1145</v>
      </c>
      <c r="E15" s="326" t="s">
        <v>1146</v>
      </c>
      <c r="F15" s="327">
        <f>'数据-取费表'!B33</f>
        <v>0.03</v>
      </c>
      <c r="G15" s="1530"/>
      <c r="H15" s="1201" t="s">
        <v>826</v>
      </c>
      <c r="I15" s="1202" t="s">
        <v>1140</v>
      </c>
      <c r="J15" s="1211">
        <f ca="1">INDIRECT("'数据-取费表'!ad"&amp;$G$1)</f>
        <v>0.8</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x14ac:dyDescent="0.2">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1</v>
      </c>
      <c r="K16" s="1199" t="s">
        <v>1149</v>
      </c>
      <c r="L16" s="1200"/>
      <c r="M16" s="1184"/>
    </row>
    <row r="17" spans="1:37" s="1531" customFormat="1" ht="18" customHeight="1" x14ac:dyDescent="0.2">
      <c r="A17" s="1093" t="s">
        <v>1114</v>
      </c>
      <c r="B17" s="308" t="s">
        <v>1150</v>
      </c>
      <c r="C17" s="24">
        <f ca="1">ROUND(F17*(F43+INDIRECT("'数据-取费表'!S"&amp;$G$1))/10000,0)</f>
        <v>1</v>
      </c>
      <c r="D17" s="308" t="s">
        <v>1151</v>
      </c>
      <c r="E17" s="308" t="s">
        <v>1152</v>
      </c>
      <c r="F17" s="26">
        <f>'数据-取费表'!B35</f>
        <v>200</v>
      </c>
      <c r="G17" s="1530"/>
      <c r="H17" s="1093"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x14ac:dyDescent="0.2">
      <c r="A18" s="1093" t="s">
        <v>1115</v>
      </c>
      <c r="B18" s="308" t="s">
        <v>1156</v>
      </c>
      <c r="C18" s="24">
        <f ca="1">ROUND(C14*F18,0)</f>
        <v>0</v>
      </c>
      <c r="D18" s="308" t="s">
        <v>1145</v>
      </c>
      <c r="E18" s="308" t="s">
        <v>1146</v>
      </c>
      <c r="F18" s="328">
        <f>'数据-取费表'!B36</f>
        <v>1.4999999999999999E-2</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x14ac:dyDescent="0.2">
      <c r="A19" s="1093" t="s">
        <v>822</v>
      </c>
      <c r="B19" s="308" t="s">
        <v>1159</v>
      </c>
      <c r="C19" s="24">
        <f ca="1">SUM(C14:C18)</f>
        <v>20</v>
      </c>
      <c r="D19" s="136" t="s">
        <v>1160</v>
      </c>
      <c r="E19" s="1494"/>
      <c r="F19" s="26"/>
      <c r="G19" s="1518"/>
      <c r="H19" s="1093" t="s">
        <v>823</v>
      </c>
      <c r="I19" s="308" t="s">
        <v>1161</v>
      </c>
      <c r="J19" s="24">
        <f ca="1">IF(K19="按租金收入计税",ROUND(J6*M19/(1+'数据-取费表'!C42),2),ROUND(C29*M19*0.7,2))</f>
        <v>0</v>
      </c>
      <c r="K19" s="1504" t="s">
        <v>4716</v>
      </c>
      <c r="L19" s="308" t="s">
        <v>1146</v>
      </c>
      <c r="M19" s="328">
        <f>IF(K19="按租金收入计税",'数据-取费表'!B51,'数据-取费表'!B50)</f>
        <v>0.12</v>
      </c>
    </row>
    <row r="20" spans="1:37" s="1531" customFormat="1" ht="18" customHeight="1" x14ac:dyDescent="0.2">
      <c r="A20" s="1093" t="s">
        <v>826</v>
      </c>
      <c r="B20" s="308" t="s">
        <v>1163</v>
      </c>
      <c r="C20" s="24">
        <f ca="1">ROUND(C19*F20,0)</f>
        <v>0</v>
      </c>
      <c r="D20" s="329" t="s">
        <v>1164</v>
      </c>
      <c r="E20" s="308" t="s">
        <v>1146</v>
      </c>
      <c r="F20" s="328">
        <f>'数据-取费表'!B37</f>
        <v>0.02</v>
      </c>
      <c r="G20" s="1530"/>
      <c r="H20" s="1093" t="s">
        <v>1113</v>
      </c>
      <c r="I20" s="160" t="s">
        <v>1165</v>
      </c>
      <c r="J20" s="25">
        <f ca="1">ROUND(M20*M21/10000,2)</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x14ac:dyDescent="0.2">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x14ac:dyDescent="0.2">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ROUND(J14*M22,1)</f>
        <v>0.6</v>
      </c>
      <c r="K22" s="1478" t="s">
        <v>1174</v>
      </c>
      <c r="L22" s="308" t="s">
        <v>1146</v>
      </c>
      <c r="M22" s="334">
        <f ca="1">INDIRECT("'数据-取费表'!Ak"&amp;$G$1)</f>
        <v>0.02</v>
      </c>
    </row>
    <row r="23" spans="1:37" s="1531" customFormat="1" ht="18" customHeight="1" x14ac:dyDescent="0.2">
      <c r="A23" s="1093" t="s">
        <v>821</v>
      </c>
      <c r="B23" s="308" t="s">
        <v>1175</v>
      </c>
      <c r="C23" s="24">
        <f ca="1">IF('数据-取费表'!B22&lt;=1,ROUND(C19*F24*F23/2,0)+ROUND(C20*F24*F23/2,0),ROUND(C19*(POWER((1+F24),F23/2)-1),0)+ROUND(C20*(POWER((1+F24),F23/2)-1),0))</f>
        <v>1</v>
      </c>
      <c r="D23" s="335" t="str">
        <f>IF(F23&lt;=1,"(建造成本+管理费用)×利率×(建设周期÷2)","(建造成本+管理费用)×((1+利率)^(建设周期÷2)-1)")</f>
        <v>(建造成本+管理费用)×((1+利率)^(建设周期÷2)-1)</v>
      </c>
      <c r="E23" s="308" t="s">
        <v>1176</v>
      </c>
      <c r="F23" s="331">
        <f>'数据-取费表'!B20</f>
        <v>2</v>
      </c>
      <c r="G23" s="1530"/>
      <c r="H23" s="1093" t="s">
        <v>862</v>
      </c>
      <c r="I23" s="308" t="s">
        <v>1177</v>
      </c>
      <c r="J23" s="24">
        <f ca="1">ROUND(J13*M23,1)</f>
        <v>0</v>
      </c>
      <c r="K23" s="1478" t="s">
        <v>1178</v>
      </c>
      <c r="L23" s="308" t="s">
        <v>1179</v>
      </c>
      <c r="M23" s="336">
        <f ca="1">INDIRECT("'数据-取费表'!Al"&amp;$G$1)</f>
        <v>2E-3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x14ac:dyDescent="0.25">
      <c r="A24" s="1093" t="s">
        <v>1180</v>
      </c>
      <c r="B24" s="308" t="s">
        <v>1181</v>
      </c>
      <c r="C24" s="24">
        <f ca="1">ROUND(IF('数据-取费表'!B22&lt;=1,F21*F24*F23/2,F21*(POWER((1+F24),F23/2)-1)),4)</f>
        <v>6.9999999999999999E-4</v>
      </c>
      <c r="D24" s="335" t="str">
        <f>IF(F23&lt;=1,"销售费用×利率×(建设周期÷2)","销售费用×((1+利率)^(建设周期÷2)-1)")</f>
        <v>销售费用×((1+利率)^(建设周期÷2)-1)</v>
      </c>
      <c r="E24" s="308" t="s">
        <v>1182</v>
      </c>
      <c r="F24" s="337">
        <f ca="1">'数据-取费表'!B40</f>
        <v>3.6499999999999998E-2</v>
      </c>
      <c r="G24" s="1530"/>
      <c r="H24" s="1201" t="s">
        <v>1117</v>
      </c>
      <c r="I24" s="1202" t="s">
        <v>1163</v>
      </c>
      <c r="J24" s="1203">
        <f ca="1">ROUND(J5*M24,1)</f>
        <v>0</v>
      </c>
      <c r="K24" s="1204" t="s">
        <v>1183</v>
      </c>
      <c r="L24" s="1202" t="s">
        <v>1179</v>
      </c>
      <c r="M24" s="1198">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x14ac:dyDescent="0.2">
      <c r="A25" s="1093" t="s">
        <v>1184</v>
      </c>
      <c r="B25" s="308" t="s">
        <v>1185</v>
      </c>
      <c r="C25" s="24"/>
      <c r="D25" s="136" t="s">
        <v>1186</v>
      </c>
      <c r="E25" s="1494"/>
      <c r="F25" s="26"/>
      <c r="G25" s="1518"/>
      <c r="H25" s="1191" t="s">
        <v>818</v>
      </c>
      <c r="I25" s="1206" t="s">
        <v>1187</v>
      </c>
      <c r="J25" s="316">
        <f ca="1">J5-J16</f>
        <v>-1</v>
      </c>
      <c r="K25" s="1207" t="s">
        <v>1188</v>
      </c>
      <c r="L25" s="1208"/>
      <c r="M25" s="1209"/>
    </row>
    <row r="26" spans="1:37" ht="14" x14ac:dyDescent="0.2">
      <c r="A26" s="1093" t="s">
        <v>821</v>
      </c>
      <c r="B26" s="308" t="s">
        <v>1189</v>
      </c>
      <c r="C26" s="24">
        <f ca="1">ROUND((C19+C20)*F26,0)</f>
        <v>5</v>
      </c>
      <c r="D26" s="329" t="s">
        <v>1190</v>
      </c>
      <c r="E26" s="319" t="s">
        <v>1191</v>
      </c>
      <c r="F26" s="318">
        <f ca="1">INDIRECT("'数据-取费表'!q"&amp;$G$1)</f>
        <v>0.25</v>
      </c>
      <c r="G26" s="1518"/>
      <c r="H26" s="305" t="s">
        <v>819</v>
      </c>
      <c r="I26" s="306" t="s">
        <v>1192</v>
      </c>
      <c r="J26" s="307">
        <f ca="1">IF(J5&lt;&gt;0,ROUND(J25*(1-((1+M28)/(1+M26))^M27)/(M26-M28),0),0)</f>
        <v>0</v>
      </c>
      <c r="K26" s="330" t="s">
        <v>1193</v>
      </c>
      <c r="L26" s="308" t="s">
        <v>1194</v>
      </c>
      <c r="M26" s="318">
        <f ca="1">INDIRECT("'数据-取费表'!I"&amp;$G$1)</f>
        <v>5.5E-2</v>
      </c>
    </row>
    <row r="27" spans="1:37" ht="18" customHeight="1" x14ac:dyDescent="0.2">
      <c r="A27" s="1093" t="s">
        <v>823</v>
      </c>
      <c r="B27" s="308" t="s">
        <v>1195</v>
      </c>
      <c r="C27" s="24">
        <f ca="1">ROUND(F21*F26,4)</f>
        <v>5.0000000000000001E-3</v>
      </c>
      <c r="D27" s="329" t="s">
        <v>1196</v>
      </c>
      <c r="E27" s="326"/>
      <c r="F27" s="327"/>
      <c r="G27" s="1518"/>
      <c r="H27" s="310"/>
      <c r="I27" s="311"/>
      <c r="J27" s="312"/>
      <c r="K27" s="338" t="s">
        <v>1197</v>
      </c>
      <c r="L27" s="308" t="s">
        <v>1198</v>
      </c>
      <c r="M27" s="339">
        <f ca="1">INDIRECT("'数据-取费表'!ag"&amp;$G$1)</f>
        <v>21.83</v>
      </c>
    </row>
    <row r="28" spans="1:37" s="1531" customFormat="1" ht="18" customHeight="1" x14ac:dyDescent="0.2">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x14ac:dyDescent="0.25">
      <c r="A29" s="1201" t="s">
        <v>825</v>
      </c>
      <c r="B29" s="1202" t="s">
        <v>1202</v>
      </c>
      <c r="C29" s="1203">
        <f ca="1">ROUND((C19+C20+C23+C26)/(1-F21-C24-C27-C28),0)</f>
        <v>28</v>
      </c>
      <c r="D29" s="1204"/>
      <c r="E29" s="1202"/>
      <c r="F29" s="1205"/>
      <c r="G29" s="1530"/>
      <c r="H29" s="340" t="s">
        <v>820</v>
      </c>
      <c r="I29" s="341" t="s">
        <v>1203</v>
      </c>
      <c r="J29" s="342">
        <f ca="1">ROUND(J26/(1+F40)^F41,0)</f>
        <v>0</v>
      </c>
      <c r="K29" s="343" t="s">
        <v>1204</v>
      </c>
      <c r="L29" s="344"/>
      <c r="M29" s="345">
        <f ca="1">INDIRECT("'数据-取费表'!k"&amp;$G$1)</f>
        <v>58.81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x14ac:dyDescent="0.2">
      <c r="A30" s="1191" t="s">
        <v>817</v>
      </c>
      <c r="B30" s="1192" t="s">
        <v>1148</v>
      </c>
      <c r="C30" s="316">
        <f ca="1">ROUND(C31+C36+C37+C38,0)</f>
        <v>5</v>
      </c>
      <c r="D30" s="1199" t="s">
        <v>1149</v>
      </c>
      <c r="E30" s="1200"/>
      <c r="F30" s="1184"/>
      <c r="G30" s="1518"/>
      <c r="H30" s="2875"/>
      <c r="I30" s="1532"/>
      <c r="J30" s="1533"/>
      <c r="K30" s="2650"/>
      <c r="L30" s="2876"/>
      <c r="M30" s="2877"/>
    </row>
    <row r="31" spans="1:37" ht="18" customHeight="1" x14ac:dyDescent="0.2">
      <c r="A31" s="1093" t="s">
        <v>822</v>
      </c>
      <c r="B31" s="308" t="s">
        <v>1153</v>
      </c>
      <c r="C31" s="2484">
        <f ca="1">ROUND(IF(AND(项目基本情况!B11="自然人",项目基本情况!B10="北京市"),C6*F31/(1+'数据-取费表'!C42),C32+C33+C34),0)</f>
        <v>4</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x14ac:dyDescent="0.2">
      <c r="A32" s="1093" t="s">
        <v>821</v>
      </c>
      <c r="B32" s="308" t="s">
        <v>1157</v>
      </c>
      <c r="C32" s="24">
        <f ca="1">IF(项目基本情况!B11="自然人","——",ROUND(C6*F32/(1+'数据-取费表'!C42),2))</f>
        <v>1.17</v>
      </c>
      <c r="D32" s="1478" t="s">
        <v>1158</v>
      </c>
      <c r="E32" s="308" t="s">
        <v>1146</v>
      </c>
      <c r="F32" s="337">
        <f>'数据-取费表'!B41</f>
        <v>5.6000000000000001E-2</v>
      </c>
      <c r="G32" s="1518"/>
      <c r="H32" s="2875"/>
      <c r="I32" s="1532"/>
      <c r="J32" s="1533"/>
      <c r="K32" s="2650"/>
      <c r="L32" s="2876"/>
      <c r="M32" s="2877"/>
    </row>
    <row r="33" spans="1:18" ht="18" customHeight="1" x14ac:dyDescent="0.15">
      <c r="A33" s="1093" t="s">
        <v>823</v>
      </c>
      <c r="B33" s="308" t="s">
        <v>1161</v>
      </c>
      <c r="C33" s="24">
        <f ca="1">IF(项目基本情况!B11="自然人","——",IF(D33="按租金收入计税",ROUND(C6*F33/(1+'数据-取费表'!C42),2),IF(D33="按房产原值计税",ROUND(C29*F33*0.7,2),INDIRECT("'数据-取费表'!Aj"&amp;$G$1))))</f>
        <v>2.5099999999999998</v>
      </c>
      <c r="D33" s="1504" t="s">
        <v>4716</v>
      </c>
      <c r="E33" s="308" t="s">
        <v>1146</v>
      </c>
      <c r="F33" s="328">
        <f>IF(D33="按票据","——",IF(D33="按租金收入计税",'数据-取费表'!B51,'数据-取费表'!B50))</f>
        <v>0.12</v>
      </c>
      <c r="G33" s="1518"/>
      <c r="H33" s="2878"/>
      <c r="I33" s="1532"/>
      <c r="J33" s="1533"/>
      <c r="K33" s="2879"/>
      <c r="L33" s="2878"/>
      <c r="M33" s="2878"/>
    </row>
    <row r="34" spans="1:18" ht="18" customHeight="1" x14ac:dyDescent="0.15">
      <c r="A34" s="1181" t="s">
        <v>1113</v>
      </c>
      <c r="B34" s="160" t="s">
        <v>1165</v>
      </c>
      <c r="C34" s="25">
        <f ca="1">IF(项目基本情况!B11="自然人","——",ROUND(F34*F35/10000,2))</f>
        <v>0</v>
      </c>
      <c r="D34" s="330" t="s">
        <v>1166</v>
      </c>
      <c r="E34" s="308" t="s">
        <v>1167</v>
      </c>
      <c r="F34" s="331">
        <f>'数据-取费表'!B52</f>
        <v>24</v>
      </c>
      <c r="G34" s="1518"/>
      <c r="H34" s="2875"/>
      <c r="I34" s="1532"/>
      <c r="J34" s="1533"/>
      <c r="K34" s="2880"/>
      <c r="L34" s="2881"/>
      <c r="M34" s="2881"/>
    </row>
    <row r="35" spans="1:18" ht="18" customHeight="1" x14ac:dyDescent="0.15">
      <c r="A35" s="1215"/>
      <c r="B35" s="1213"/>
      <c r="C35" s="29"/>
      <c r="D35" s="333"/>
      <c r="E35" s="308" t="s">
        <v>1171</v>
      </c>
      <c r="F35" s="309">
        <f ca="1">INDIRECT("'数据-取费表'!r"&amp;$G$1)</f>
        <v>0</v>
      </c>
      <c r="G35" s="1518"/>
      <c r="H35" s="2875"/>
      <c r="I35" s="1532"/>
      <c r="J35" s="1533"/>
      <c r="K35" s="2879"/>
      <c r="L35" s="2878"/>
      <c r="M35" s="2878"/>
    </row>
    <row r="36" spans="1:18" ht="18" customHeight="1" x14ac:dyDescent="0.15">
      <c r="A36" s="1214" t="s">
        <v>826</v>
      </c>
      <c r="B36" s="308" t="s">
        <v>1173</v>
      </c>
      <c r="C36" s="24">
        <f ca="1">ROUND(C29*F36,1)</f>
        <v>0.6</v>
      </c>
      <c r="D36" s="1478" t="s">
        <v>1206</v>
      </c>
      <c r="E36" s="308" t="s">
        <v>1146</v>
      </c>
      <c r="F36" s="334">
        <f ca="1">INDIRECT("'数据-取费表'!Ak"&amp;$G$1)</f>
        <v>0.02</v>
      </c>
      <c r="G36" s="1518"/>
      <c r="H36" s="2878"/>
      <c r="I36" s="1532"/>
      <c r="J36" s="1533"/>
      <c r="K36" s="2719"/>
      <c r="L36" s="2878"/>
      <c r="M36" s="2878"/>
    </row>
    <row r="37" spans="1:18" ht="18" customHeight="1" x14ac:dyDescent="0.15">
      <c r="A37" s="1093" t="s">
        <v>862</v>
      </c>
      <c r="B37" s="308" t="s">
        <v>1177</v>
      </c>
      <c r="C37" s="24">
        <f ca="1">ROUND(C13*F37,1)</f>
        <v>0</v>
      </c>
      <c r="D37" s="1478" t="s">
        <v>1178</v>
      </c>
      <c r="E37" s="308" t="s">
        <v>1179</v>
      </c>
      <c r="F37" s="336">
        <f ca="1">INDIRECT("'数据-取费表'!Al"&amp;$G$1)</f>
        <v>2E-3</v>
      </c>
      <c r="G37" s="1518"/>
      <c r="H37" s="2878"/>
      <c r="I37" s="1532"/>
      <c r="J37" s="1533"/>
      <c r="K37" s="2719"/>
      <c r="L37" s="2878"/>
      <c r="M37" s="2878"/>
    </row>
    <row r="38" spans="1:18" ht="18" customHeight="1" thickBot="1" x14ac:dyDescent="0.2">
      <c r="A38" s="1201" t="s">
        <v>1117</v>
      </c>
      <c r="B38" s="1202" t="s">
        <v>1163</v>
      </c>
      <c r="C38" s="1203">
        <f ca="1">ROUND(C5*F38,1)</f>
        <v>0.4</v>
      </c>
      <c r="D38" s="1204" t="s">
        <v>1183</v>
      </c>
      <c r="E38" s="1202" t="s">
        <v>1179</v>
      </c>
      <c r="F38" s="1198">
        <f ca="1">INDIRECT("'数据-取费表'!Am"&amp;$G$1)</f>
        <v>0.02</v>
      </c>
      <c r="G38" s="1518"/>
      <c r="H38" s="2878"/>
      <c r="I38" s="1532"/>
      <c r="J38" s="1533"/>
      <c r="K38" s="2882"/>
      <c r="L38" s="2878"/>
      <c r="M38" s="2878"/>
    </row>
    <row r="39" spans="1:18" ht="24.5" customHeight="1" thickTop="1" x14ac:dyDescent="0.15">
      <c r="A39" s="1191" t="s">
        <v>818</v>
      </c>
      <c r="B39" s="1206" t="s">
        <v>1207</v>
      </c>
      <c r="C39" s="316">
        <f ca="1">C5-C30</f>
        <v>17</v>
      </c>
      <c r="D39" s="1207" t="s">
        <v>1208</v>
      </c>
      <c r="E39" s="1208"/>
      <c r="F39" s="1209"/>
      <c r="G39" s="1518"/>
      <c r="H39" s="2878"/>
      <c r="I39" s="1532"/>
      <c r="J39" s="1533"/>
      <c r="K39" s="2882"/>
      <c r="L39" s="2878"/>
      <c r="M39" s="2878"/>
    </row>
    <row r="40" spans="1:18" ht="18" customHeight="1" x14ac:dyDescent="0.2">
      <c r="A40" s="305" t="s">
        <v>819</v>
      </c>
      <c r="B40" s="306" t="s">
        <v>1209</v>
      </c>
      <c r="C40" s="307">
        <f ca="1">ROUND(C39*(1-((1+F42)/(1+F40))^F41)/(F40-F42),0)</f>
        <v>265</v>
      </c>
      <c r="D40" s="330" t="s">
        <v>1193</v>
      </c>
      <c r="E40" s="308" t="s">
        <v>1194</v>
      </c>
      <c r="F40" s="318">
        <f ca="1">INDIRECT("'数据-取费表'!I"&amp;$G$1)</f>
        <v>5.5E-2</v>
      </c>
      <c r="G40" s="1518"/>
      <c r="H40" s="1595"/>
      <c r="I40" s="1532"/>
      <c r="J40" s="1533"/>
      <c r="K40" s="2882"/>
      <c r="L40" s="1595"/>
      <c r="M40" s="1595"/>
    </row>
    <row r="41" spans="1:18" ht="18" customHeight="1" x14ac:dyDescent="0.2">
      <c r="A41" s="310"/>
      <c r="B41" s="311"/>
      <c r="C41" s="312"/>
      <c r="D41" s="338" t="s">
        <v>1210</v>
      </c>
      <c r="E41" s="308" t="s">
        <v>1198</v>
      </c>
      <c r="F41" s="339">
        <f ca="1">IF(INDIRECT("'数据-取费表'!af"&amp;$G$1)=0,INDIRECT("'数据-取费表'!ae"&amp;$G$1),INDIRECT("'数据-取费表'!af"&amp;$G$1))</f>
        <v>21.83</v>
      </c>
      <c r="G41" s="1518"/>
      <c r="H41" s="1305"/>
      <c r="I41" s="1532"/>
      <c r="J41" s="1533"/>
      <c r="K41" s="2719"/>
      <c r="L41" s="1305"/>
      <c r="M41" s="1305"/>
    </row>
    <row r="42" spans="1:18" ht="18" customHeight="1" x14ac:dyDescent="0.2">
      <c r="A42" s="314"/>
      <c r="B42" s="315"/>
      <c r="C42" s="316"/>
      <c r="D42" s="333"/>
      <c r="E42" s="308" t="s">
        <v>1201</v>
      </c>
      <c r="F42" s="318">
        <f ca="1">INDIRECT("'数据-取费表'!v"&amp;$G$1)</f>
        <v>2.5000000000000001E-2</v>
      </c>
      <c r="G42" s="1518"/>
      <c r="H42" s="1305"/>
      <c r="I42" s="1532"/>
      <c r="J42" s="1533"/>
      <c r="K42" s="2719"/>
      <c r="L42" s="1305"/>
      <c r="M42" s="1305"/>
    </row>
    <row r="43" spans="1:18" ht="18" customHeight="1" thickBot="1" x14ac:dyDescent="0.25">
      <c r="A43" s="340" t="s">
        <v>820</v>
      </c>
      <c r="B43" s="341" t="s">
        <v>1211</v>
      </c>
      <c r="C43" s="342">
        <f ca="1">ROUND(C40*10000/F43,0)</f>
        <v>45060</v>
      </c>
      <c r="D43" s="343" t="s">
        <v>1212</v>
      </c>
      <c r="E43" s="344" t="s">
        <v>1213</v>
      </c>
      <c r="F43" s="345">
        <f ca="1">INDIRECT("'数据-取费表'!k"&amp;$G$1)</f>
        <v>58.81</v>
      </c>
      <c r="G43" s="1518"/>
      <c r="H43" s="1305"/>
      <c r="I43" s="1305"/>
      <c r="J43" s="1305"/>
      <c r="K43" s="2719"/>
      <c r="L43" s="1305"/>
      <c r="M43" s="1305"/>
    </row>
    <row r="44" spans="1:18" s="1518" customFormat="1" ht="18" customHeight="1" x14ac:dyDescent="0.15">
      <c r="A44" s="1534"/>
      <c r="B44" s="1534"/>
      <c r="C44" s="1535"/>
      <c r="D44" s="1534"/>
      <c r="E44" s="1534"/>
      <c r="F44" s="1534"/>
      <c r="K44" s="1536"/>
    </row>
    <row r="45" spans="1:18" s="1518" customFormat="1" ht="18" customHeight="1" thickBot="1" x14ac:dyDescent="0.2">
      <c r="A45" s="1534"/>
      <c r="B45" s="1534"/>
      <c r="C45" s="1535"/>
      <c r="D45" s="1534"/>
      <c r="E45" s="1534"/>
      <c r="F45" s="1534"/>
      <c r="J45" s="734"/>
      <c r="O45" s="2883" t="s">
        <v>1243</v>
      </c>
      <c r="P45" s="1595"/>
      <c r="Q45" s="1595"/>
      <c r="R45" s="1595"/>
    </row>
    <row r="46" spans="1:18" s="1518" customFormat="1" ht="15" thickBot="1" x14ac:dyDescent="0.2">
      <c r="A46" s="1538" t="s">
        <v>1244</v>
      </c>
      <c r="C46" s="1539">
        <f ca="1">C68-C40</f>
        <v>-303</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5" thickBot="1" x14ac:dyDescent="0.25">
      <c r="A47" s="1057" t="s">
        <v>1120</v>
      </c>
      <c r="B47" s="1089" t="s">
        <v>1121</v>
      </c>
      <c r="C47" s="1229" t="s">
        <v>1122</v>
      </c>
      <c r="D47" s="1089" t="s">
        <v>1123</v>
      </c>
      <c r="E47" s="1169" t="s">
        <v>1124</v>
      </c>
      <c r="F47" s="1170"/>
      <c r="G47" s="730"/>
      <c r="I47" s="1548" t="s">
        <v>1250</v>
      </c>
      <c r="J47" s="1549" t="s">
        <v>4717</v>
      </c>
      <c r="K47" s="1550" t="s">
        <v>1251</v>
      </c>
      <c r="L47" s="1551">
        <f ca="1">INDIRECT("'数据-取费表'!d"&amp;$G$1)</f>
        <v>40</v>
      </c>
      <c r="M47" s="1514" t="str">
        <f>IF(ISNUMBER(FIND("住宅",C1)),"住宅","非住宅")</f>
        <v>非住宅</v>
      </c>
      <c r="O47" s="1552" t="s">
        <v>827</v>
      </c>
      <c r="P47" s="1553" t="s">
        <v>1252</v>
      </c>
      <c r="Q47" s="1554">
        <f ca="1">C40+J29</f>
        <v>265</v>
      </c>
      <c r="R47" s="1554" t="s">
        <v>1253</v>
      </c>
    </row>
    <row r="48" spans="1:18" s="1518" customFormat="1" ht="47" thickBot="1" x14ac:dyDescent="0.2">
      <c r="A48" s="1222" t="s">
        <v>863</v>
      </c>
      <c r="B48" s="306" t="s">
        <v>1125</v>
      </c>
      <c r="C48" s="1493">
        <f ca="1">C49+C53+C55</f>
        <v>0</v>
      </c>
      <c r="D48" s="1224"/>
      <c r="E48" s="1225"/>
      <c r="F48" s="1073"/>
      <c r="G48" s="730"/>
      <c r="H48" s="731"/>
      <c r="I48" s="1555" t="s">
        <v>1254</v>
      </c>
      <c r="J48" s="1556" t="s">
        <v>4718</v>
      </c>
      <c r="K48" s="1557" t="s">
        <v>1255</v>
      </c>
      <c r="L48" s="1558">
        <f ca="1">INDIRECT("'数据-取费表'!f"&amp;$G$1)</f>
        <v>21.83</v>
      </c>
      <c r="O48" s="1552" t="s">
        <v>828</v>
      </c>
      <c r="P48" s="1553" t="s">
        <v>1256</v>
      </c>
      <c r="Q48" s="1554" t="str">
        <f ca="1">J60</f>
        <v>0</v>
      </c>
      <c r="R48" s="1554" t="s">
        <v>1257</v>
      </c>
    </row>
    <row r="49" spans="1:18" s="1518" customFormat="1" ht="15" thickBot="1" x14ac:dyDescent="0.2">
      <c r="A49" s="1086" t="s">
        <v>864</v>
      </c>
      <c r="B49" s="1505" t="s">
        <v>1214</v>
      </c>
      <c r="C49" s="1226">
        <f ca="1">ROUND(F49*F51*F50*(1-F52)/10000,0)</f>
        <v>0</v>
      </c>
      <c r="D49" s="1166" t="s">
        <v>2610</v>
      </c>
      <c r="E49" s="1506" t="s">
        <v>1215</v>
      </c>
      <c r="F49" s="1171"/>
      <c r="G49" s="1559"/>
      <c r="H49" s="731"/>
      <c r="I49" s="1555" t="s">
        <v>1258</v>
      </c>
      <c r="J49" s="1560">
        <v>2008</v>
      </c>
      <c r="K49" s="1557" t="s">
        <v>1259</v>
      </c>
      <c r="L49" s="1561"/>
      <c r="O49" s="1562" t="s">
        <v>829</v>
      </c>
      <c r="P49" s="1553" t="s">
        <v>1260</v>
      </c>
      <c r="Q49" s="1554">
        <f ca="1">C29</f>
        <v>28</v>
      </c>
      <c r="R49" s="1554" t="s">
        <v>1253</v>
      </c>
    </row>
    <row r="50" spans="1:18" s="1518" customFormat="1" ht="15" thickBot="1" x14ac:dyDescent="0.2">
      <c r="A50" s="1087"/>
      <c r="B50" s="1090"/>
      <c r="C50" s="1230"/>
      <c r="D50" s="1064"/>
      <c r="E50" s="1167" t="s">
        <v>1130</v>
      </c>
      <c r="F50" s="1168">
        <f ca="1">F7</f>
        <v>58.81</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5" thickBot="1" x14ac:dyDescent="0.25">
      <c r="A51" s="1088"/>
      <c r="B51" s="1090"/>
      <c r="C51" s="1091"/>
      <c r="D51" s="1064"/>
      <c r="E51" s="1092" t="s">
        <v>1131</v>
      </c>
      <c r="F51" s="309">
        <f ca="1">F8</f>
        <v>365</v>
      </c>
      <c r="I51" s="1566" t="s">
        <v>1264</v>
      </c>
      <c r="J51" s="1567">
        <f>IF(J49="",J50,J49+J50-YEAR('数据-取费表'!B2))</f>
        <v>46</v>
      </c>
      <c r="K51" s="1568" t="s">
        <v>1265</v>
      </c>
      <c r="L51" s="1569">
        <f ca="1">ROUND(-PV(INDIRECT("'数据-取费表'!h"&amp;$G$1),J51,(C39-C13*C76),0),0)</f>
        <v>257</v>
      </c>
      <c r="M51" s="1570"/>
      <c r="O51" s="1562" t="s">
        <v>831</v>
      </c>
      <c r="P51" s="1553" t="s">
        <v>1266</v>
      </c>
      <c r="Q51" s="1565">
        <f>J52</f>
        <v>7.4999999999999997E-2</v>
      </c>
      <c r="R51" s="1554"/>
    </row>
    <row r="52" spans="1:18" s="1518" customFormat="1" ht="15" thickBot="1" x14ac:dyDescent="0.25">
      <c r="A52" s="1088"/>
      <c r="B52" s="1090"/>
      <c r="C52" s="1091"/>
      <c r="D52" s="1064"/>
      <c r="E52" s="1092" t="s">
        <v>1132</v>
      </c>
      <c r="F52" s="1165"/>
      <c r="I52" s="1571" t="s">
        <v>1267</v>
      </c>
      <c r="J52" s="1572">
        <v>7.4999999999999997E-2</v>
      </c>
      <c r="K52" s="1571" t="s">
        <v>1268</v>
      </c>
      <c r="L52" s="1572"/>
      <c r="O52" s="1562" t="s">
        <v>832</v>
      </c>
      <c r="P52" s="1553" t="s">
        <v>1269</v>
      </c>
      <c r="Q52" s="1554">
        <f ca="1">J53</f>
        <v>21.83</v>
      </c>
      <c r="R52" s="1554" t="s">
        <v>1270</v>
      </c>
    </row>
    <row r="53" spans="1:18" s="1518" customFormat="1" ht="29" thickBot="1" x14ac:dyDescent="0.25">
      <c r="A53" s="1266" t="s">
        <v>865</v>
      </c>
      <c r="B53" s="1507" t="s">
        <v>1133</v>
      </c>
      <c r="C53" s="322">
        <f ca="1">ROUND(IF(F53="押一",C49/12*F11,IF(F53="押二",C49/12*2*F11,IF(F53="押三",C49/12*3*F11,C54*F11))),0)</f>
        <v>0</v>
      </c>
      <c r="D53" s="1500" t="s">
        <v>2616</v>
      </c>
      <c r="E53" s="319" t="s">
        <v>1134</v>
      </c>
      <c r="F53" s="1228" t="s">
        <v>4715</v>
      </c>
      <c r="I53" s="1573" t="s">
        <v>1271</v>
      </c>
      <c r="J53" s="2336">
        <f ca="1">IF(M47="住宅",IF(D1="——",MAX(J51,L48),MAX(J51,L48-'数据-取费表'!B24)),IF(D1="——",MIN(J51,L48),MIN(J51,L48-'数据-取费表'!B24)))</f>
        <v>21.83</v>
      </c>
      <c r="K53" s="3632" t="s">
        <v>1272</v>
      </c>
      <c r="L53" s="3633"/>
      <c r="O53" s="1552" t="s">
        <v>833</v>
      </c>
      <c r="P53" s="1553" t="s">
        <v>1273</v>
      </c>
      <c r="Q53" s="1554">
        <f ca="1">Q47+Q48</f>
        <v>265</v>
      </c>
      <c r="R53" s="1554" t="s">
        <v>834</v>
      </c>
    </row>
    <row r="54" spans="1:18" s="1518" customFormat="1" ht="15" thickBot="1" x14ac:dyDescent="0.25">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5" thickBot="1" x14ac:dyDescent="0.25">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30" thickTop="1" thickBot="1" x14ac:dyDescent="0.25">
      <c r="A56" s="1068">
        <v>2</v>
      </c>
      <c r="B56" s="1069" t="s">
        <v>1138</v>
      </c>
      <c r="C56" s="238">
        <f ca="1">C13</f>
        <v>22</v>
      </c>
      <c r="D56" s="1581"/>
      <c r="E56" s="1582"/>
      <c r="F56" s="1574"/>
      <c r="I56" s="1583" t="s">
        <v>1278</v>
      </c>
      <c r="J56" s="1584" t="s">
        <v>3242</v>
      </c>
      <c r="K56" s="1555" t="s">
        <v>1279</v>
      </c>
      <c r="L56" s="1558" t="str">
        <f ca="1">IF(L48&lt;J51,"——",L48-J53)</f>
        <v>——</v>
      </c>
      <c r="O56" s="1552" t="s">
        <v>827</v>
      </c>
      <c r="P56" s="1553" t="s">
        <v>1252</v>
      </c>
      <c r="Q56" s="1554">
        <f ca="1">C40+J29</f>
        <v>265</v>
      </c>
      <c r="R56" s="1554" t="s">
        <v>1253</v>
      </c>
    </row>
    <row r="57" spans="1:18" s="1518" customFormat="1" ht="29" thickBot="1" x14ac:dyDescent="0.25">
      <c r="A57" s="1585"/>
      <c r="B57" s="1061" t="s">
        <v>1202</v>
      </c>
      <c r="C57" s="244">
        <f ca="1">C29</f>
        <v>28</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9" thickBot="1" x14ac:dyDescent="0.25">
      <c r="A58" s="321" t="s">
        <v>817</v>
      </c>
      <c r="B58" s="1069" t="s">
        <v>1148</v>
      </c>
      <c r="C58" s="322">
        <f ca="1">ROUND(C59+C64+C65+C66,0)</f>
        <v>3</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9" thickBot="1" x14ac:dyDescent="0.25">
      <c r="A59" s="1093" t="s">
        <v>822</v>
      </c>
      <c r="B59" s="1061" t="s">
        <v>1153</v>
      </c>
      <c r="C59" s="2484">
        <f ca="1">ROUND(IF(AND(项目基本情况!B11="自然人",项目基本情况!B10="北京市"),C49*F59/(1+'数据-取费表'!C42),C60+C61+C62),0)</f>
        <v>2</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 thickBot="1" x14ac:dyDescent="0.25">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5" thickBot="1" x14ac:dyDescent="0.25">
      <c r="A61" s="1093" t="s">
        <v>1216</v>
      </c>
      <c r="B61" s="1061" t="s">
        <v>1217</v>
      </c>
      <c r="C61" s="24">
        <f ca="1">IF(项目基本情况!B11="自然人","——",IF(D61="按租金收入计税",ROUND(C49*F61/(1+'数据-取费表'!C42),2),IF(D61="按房产原值计税",ROUND(C57*F61*0.7,2),INDIRECT("'数据-取费表'!Aj"&amp;$G$1))))</f>
        <v>2.35</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5" thickBot="1" x14ac:dyDescent="0.2">
      <c r="A62" s="1093" t="s">
        <v>1219</v>
      </c>
      <c r="B62" s="1060" t="s">
        <v>1220</v>
      </c>
      <c r="C62" s="25">
        <f ca="1">IF(项目基本情况!B11="自然人","——",ROUND(F62*F63/10000,2))</f>
        <v>0</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265</v>
      </c>
      <c r="R62" s="1554" t="s">
        <v>834</v>
      </c>
    </row>
    <row r="63" spans="1:18" s="1518" customFormat="1" ht="15" thickBot="1" x14ac:dyDescent="0.2">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5" thickBot="1" x14ac:dyDescent="0.2">
      <c r="A64" s="1093" t="s">
        <v>1224</v>
      </c>
      <c r="B64" s="1061" t="s">
        <v>1225</v>
      </c>
      <c r="C64" s="24">
        <f ca="1">ROUND(C57*F64,1)</f>
        <v>0.6</v>
      </c>
      <c r="D64" s="1075" t="s">
        <v>1226</v>
      </c>
      <c r="E64" s="1061" t="s">
        <v>1218</v>
      </c>
      <c r="F64" s="334">
        <f t="shared" ca="1" si="0"/>
        <v>0.02</v>
      </c>
      <c r="I64" s="1596" t="s">
        <v>1302</v>
      </c>
      <c r="J64" s="1597">
        <v>50</v>
      </c>
      <c r="K64" s="1597">
        <v>35</v>
      </c>
      <c r="L64" s="1597">
        <v>60</v>
      </c>
      <c r="M64" s="1598">
        <v>0</v>
      </c>
      <c r="O64" s="1545" t="s">
        <v>1246</v>
      </c>
      <c r="P64" s="1546" t="s">
        <v>1247</v>
      </c>
      <c r="Q64" s="1547" t="s">
        <v>1248</v>
      </c>
      <c r="R64" s="1547" t="s">
        <v>1249</v>
      </c>
    </row>
    <row r="65" spans="1:18" s="1518" customFormat="1" ht="15" thickBot="1" x14ac:dyDescent="0.2">
      <c r="A65" s="1093" t="s">
        <v>1227</v>
      </c>
      <c r="B65" s="1061" t="s">
        <v>1177</v>
      </c>
      <c r="C65" s="24">
        <f ca="1">ROUND(C56*F65,1)</f>
        <v>0</v>
      </c>
      <c r="D65" s="1075" t="s">
        <v>1178</v>
      </c>
      <c r="E65" s="1061" t="s">
        <v>1179</v>
      </c>
      <c r="F65" s="336">
        <f t="shared" ca="1" si="0"/>
        <v>2E-3</v>
      </c>
      <c r="I65" s="1596" t="s">
        <v>1303</v>
      </c>
      <c r="J65" s="1597">
        <v>40</v>
      </c>
      <c r="K65" s="1597">
        <v>30</v>
      </c>
      <c r="L65" s="1597">
        <v>50</v>
      </c>
      <c r="M65" s="1599">
        <v>0.02</v>
      </c>
      <c r="O65" s="1552" t="s">
        <v>827</v>
      </c>
      <c r="P65" s="1553" t="s">
        <v>1304</v>
      </c>
      <c r="Q65" s="1554">
        <f ca="1">C40+J29</f>
        <v>265</v>
      </c>
      <c r="R65" s="1554" t="s">
        <v>1253</v>
      </c>
    </row>
    <row r="66" spans="1:18" s="1518" customFormat="1" ht="16" thickBot="1" x14ac:dyDescent="0.25">
      <c r="A66" s="1093" t="s">
        <v>1228</v>
      </c>
      <c r="B66" s="1061" t="s">
        <v>1163</v>
      </c>
      <c r="C66" s="24">
        <f ca="1">ROUND(C48*F66,1)</f>
        <v>0</v>
      </c>
      <c r="D66" s="1075" t="s">
        <v>1229</v>
      </c>
      <c r="E66" s="1061" t="s">
        <v>1146</v>
      </c>
      <c r="F66" s="318">
        <f t="shared" ca="1" si="0"/>
        <v>0.02</v>
      </c>
      <c r="O66" s="1552" t="s">
        <v>828</v>
      </c>
      <c r="P66" s="1553" t="s">
        <v>1282</v>
      </c>
      <c r="Q66" s="1554">
        <f ca="1">L60</f>
        <v>0</v>
      </c>
      <c r="R66" s="1554" t="s">
        <v>1305</v>
      </c>
    </row>
    <row r="67" spans="1:18" s="1518" customFormat="1" ht="17" thickBot="1" x14ac:dyDescent="0.25">
      <c r="A67" s="1068" t="s">
        <v>818</v>
      </c>
      <c r="B67" s="1078" t="s">
        <v>1187</v>
      </c>
      <c r="C67" s="322">
        <f ca="1">C48-C58</f>
        <v>-3</v>
      </c>
      <c r="D67" s="1074" t="s">
        <v>1188</v>
      </c>
      <c r="E67" s="1079"/>
      <c r="F67" s="1080"/>
      <c r="O67" s="1562" t="s">
        <v>829</v>
      </c>
      <c r="P67" s="1553" t="s">
        <v>1286</v>
      </c>
      <c r="Q67" s="1600">
        <f ca="1">L51</f>
        <v>257</v>
      </c>
      <c r="R67" s="1554" t="s">
        <v>1306</v>
      </c>
    </row>
    <row r="68" spans="1:18" s="1518" customFormat="1" ht="16" thickBot="1" x14ac:dyDescent="0.25">
      <c r="A68" s="1058" t="s">
        <v>819</v>
      </c>
      <c r="B68" s="1059" t="s">
        <v>1209</v>
      </c>
      <c r="C68" s="307">
        <f ca="1">ROUND(C67*(1-((1+F70)/(1+F68))^F69)/(F68-F70),0)</f>
        <v>-38</v>
      </c>
      <c r="D68" s="1076" t="s">
        <v>1193</v>
      </c>
      <c r="E68" s="1061" t="s">
        <v>1194</v>
      </c>
      <c r="F68" s="318">
        <f ca="1">F40</f>
        <v>5.5E-2</v>
      </c>
      <c r="O68" s="1562" t="s">
        <v>830</v>
      </c>
      <c r="P68" s="1601" t="s">
        <v>1307</v>
      </c>
      <c r="Q68" s="1554">
        <f ca="1">ROUND(Q69-Q70*Q71,0)</f>
        <v>15</v>
      </c>
      <c r="R68" s="1554" t="s">
        <v>838</v>
      </c>
    </row>
    <row r="69" spans="1:18" s="1518" customFormat="1" ht="15" thickBot="1" x14ac:dyDescent="0.25">
      <c r="A69" s="1062"/>
      <c r="B69" s="1063"/>
      <c r="C69" s="312"/>
      <c r="D69" s="1081" t="s">
        <v>1197</v>
      </c>
      <c r="E69" s="1061" t="s">
        <v>1198</v>
      </c>
      <c r="F69" s="339">
        <f ca="1">F41</f>
        <v>21.83</v>
      </c>
      <c r="O69" s="1562" t="s">
        <v>835</v>
      </c>
      <c r="P69" s="1601" t="s">
        <v>1308</v>
      </c>
      <c r="Q69" s="1554">
        <f ca="1">C39</f>
        <v>17</v>
      </c>
      <c r="R69" s="1554" t="s">
        <v>1253</v>
      </c>
    </row>
    <row r="70" spans="1:18" s="1518" customFormat="1" ht="15" thickBot="1" x14ac:dyDescent="0.25">
      <c r="A70" s="1065"/>
      <c r="B70" s="1066"/>
      <c r="C70" s="316"/>
      <c r="D70" s="1077"/>
      <c r="E70" s="1061" t="s">
        <v>1201</v>
      </c>
      <c r="F70" s="1165"/>
      <c r="O70" s="1562" t="s">
        <v>836</v>
      </c>
      <c r="P70" s="1601" t="s">
        <v>1309</v>
      </c>
      <c r="Q70" s="1554">
        <f ca="1">C13</f>
        <v>22</v>
      </c>
      <c r="R70" s="1554" t="s">
        <v>1253</v>
      </c>
    </row>
    <row r="71" spans="1:18" s="1518" customFormat="1" ht="15" thickBot="1" x14ac:dyDescent="0.25">
      <c r="A71" s="1082" t="s">
        <v>820</v>
      </c>
      <c r="B71" s="1083" t="s">
        <v>1211</v>
      </c>
      <c r="C71" s="342">
        <f ca="1">ROUND(C68*10000/F71,0)</f>
        <v>-6461</v>
      </c>
      <c r="D71" s="1084" t="s">
        <v>1212</v>
      </c>
      <c r="E71" s="1085" t="s">
        <v>1213</v>
      </c>
      <c r="F71" s="345">
        <f ca="1">F43</f>
        <v>58.81</v>
      </c>
      <c r="O71" s="1562" t="s">
        <v>837</v>
      </c>
      <c r="P71" s="1601" t="s">
        <v>1310</v>
      </c>
      <c r="Q71" s="1565">
        <f ca="1">C76</f>
        <v>7.0000000000000007E-2</v>
      </c>
      <c r="R71" s="1554"/>
    </row>
    <row r="72" spans="1:18" s="1518" customFormat="1" ht="15" thickBot="1" x14ac:dyDescent="0.25">
      <c r="B72" s="734"/>
      <c r="C72" s="734"/>
      <c r="O72" s="1562" t="s">
        <v>831</v>
      </c>
      <c r="P72" s="1553" t="s">
        <v>1288</v>
      </c>
      <c r="Q72" s="1565">
        <f>L52</f>
        <v>0</v>
      </c>
      <c r="R72" s="1554"/>
    </row>
    <row r="73" spans="1:18" ht="16" thickBot="1" x14ac:dyDescent="0.25">
      <c r="A73" s="1518"/>
      <c r="B73" s="734"/>
      <c r="C73" s="734"/>
      <c r="D73" s="1518"/>
      <c r="E73" s="1518"/>
      <c r="F73" s="1518"/>
      <c r="O73" s="1562" t="s">
        <v>832</v>
      </c>
      <c r="P73" s="1553" t="s">
        <v>1291</v>
      </c>
      <c r="Q73" s="1554" t="e">
        <f ca="1">L58</f>
        <v>#DIV/0!</v>
      </c>
      <c r="R73" s="1554" t="s">
        <v>1292</v>
      </c>
    </row>
    <row r="74" spans="1:18" ht="15" thickBot="1" x14ac:dyDescent="0.2">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5" thickBot="1" x14ac:dyDescent="0.2">
      <c r="A75" s="1518"/>
      <c r="B75" s="346" t="s">
        <v>1230</v>
      </c>
      <c r="C75" s="347">
        <f ca="1">ROUND(C13*C76,0)</f>
        <v>2</v>
      </c>
      <c r="D75" s="1518"/>
      <c r="E75" s="1518"/>
      <c r="F75" s="1518"/>
      <c r="K75" s="1536"/>
      <c r="L75" s="1518"/>
      <c r="O75" s="1552" t="s">
        <v>833</v>
      </c>
      <c r="P75" s="1553" t="s">
        <v>1273</v>
      </c>
      <c r="Q75" s="1554">
        <f ca="1">Q65+Q66</f>
        <v>265</v>
      </c>
      <c r="R75" s="1554" t="s">
        <v>834</v>
      </c>
    </row>
    <row r="76" spans="1:18" ht="14" x14ac:dyDescent="0.2">
      <c r="B76" s="348" t="s">
        <v>1231</v>
      </c>
      <c r="C76" s="349">
        <f ca="1">INDIRECT("'数据-取费表'!j"&amp;$G$1)</f>
        <v>7.0000000000000007E-2</v>
      </c>
      <c r="I76" s="1518"/>
      <c r="J76" s="1518"/>
      <c r="K76" s="1536"/>
      <c r="L76" s="1518"/>
    </row>
    <row r="77" spans="1:18" ht="14" x14ac:dyDescent="0.15">
      <c r="B77" s="350" t="s">
        <v>1232</v>
      </c>
      <c r="C77" s="351"/>
      <c r="I77" s="1518"/>
      <c r="J77" s="1518"/>
      <c r="K77" s="1536"/>
      <c r="L77" s="1518"/>
    </row>
    <row r="78" spans="1:18" ht="14" x14ac:dyDescent="0.15">
      <c r="B78" s="276" t="s">
        <v>1233</v>
      </c>
      <c r="C78" s="352"/>
    </row>
    <row r="79" spans="1:18" ht="14" x14ac:dyDescent="0.15">
      <c r="B79" s="346" t="s">
        <v>1234</v>
      </c>
      <c r="C79" s="280">
        <f ca="1">1-C80</f>
        <v>0.88200000000000001</v>
      </c>
    </row>
    <row r="80" spans="1:18" ht="14" x14ac:dyDescent="0.15">
      <c r="B80" s="346" t="s">
        <v>1235</v>
      </c>
      <c r="C80" s="280">
        <f ca="1">ROUND(C75/C39,3)</f>
        <v>0.11799999999999999</v>
      </c>
    </row>
    <row r="81" spans="2:3" ht="14" x14ac:dyDescent="0.15">
      <c r="B81" s="276" t="s">
        <v>1236</v>
      </c>
      <c r="C81" s="244"/>
    </row>
    <row r="82" spans="2:3" ht="14" x14ac:dyDescent="0.15">
      <c r="B82" s="279" t="s">
        <v>1237</v>
      </c>
      <c r="C82" s="281">
        <f ca="1">1-C83</f>
        <v>0.91700000000000004</v>
      </c>
    </row>
    <row r="83" spans="2:3" ht="14" x14ac:dyDescent="0.15">
      <c r="B83" s="279" t="s">
        <v>1238</v>
      </c>
      <c r="C83" s="280">
        <f ca="1">ROUND(C13/C40,3)</f>
        <v>8.3000000000000004E-2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view="pageBreakPreview" topLeftCell="A25" zoomScale="90" zoomScaleNormal="70" zoomScaleSheetLayoutView="90" workbookViewId="0">
      <selection activeCell="H58" sqref="H58"/>
    </sheetView>
  </sheetViews>
  <sheetFormatPr baseColWidth="10" defaultColWidth="9" defaultRowHeight="14" x14ac:dyDescent="0.2"/>
  <cols>
    <col min="1" max="1" width="10.5" style="363" customWidth="1"/>
    <col min="2" max="2" width="15.66406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2052"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353" customFormat="1" ht="28.5" customHeight="1" thickBot="1" x14ac:dyDescent="0.25">
      <c r="A1" s="1342" t="s">
        <v>2108</v>
      </c>
      <c r="B1" s="2014" t="s">
        <v>2222</v>
      </c>
      <c r="C1" s="1358" t="s">
        <v>2110</v>
      </c>
      <c r="D1" s="1345" t="s">
        <v>4711</v>
      </c>
      <c r="E1" s="2493"/>
      <c r="F1" s="2015" t="s">
        <v>4765</v>
      </c>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x14ac:dyDescent="0.2">
      <c r="A2" s="1341" t="s">
        <v>1907</v>
      </c>
      <c r="B2" s="1278">
        <f>IF(C2="——",ROUND(C49*D3/10000,0),ROUND(C49*D3/10000,0)-D2)</f>
        <v>0</v>
      </c>
      <c r="C2" s="2017" t="s">
        <v>70</v>
      </c>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8" customFormat="1" ht="28.5" customHeight="1" thickBot="1" x14ac:dyDescent="0.25">
      <c r="A3" s="209" t="s">
        <v>1909</v>
      </c>
      <c r="B3" s="566">
        <f>IF(C2="——",C49,ROUND(B2*10000/D3,0))</f>
        <v>11.4</v>
      </c>
      <c r="C3" s="360" t="s">
        <v>2224</v>
      </c>
      <c r="D3" s="359">
        <f>IF(D1="",'数据-汇总表'!E3,SUMIF('数据-汇总表'!$C19:$C33,D1,'数据-汇总表'!$E19:$E33))</f>
        <v>58.81</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x14ac:dyDescent="0.2">
      <c r="A4" s="361" t="s">
        <v>2225</v>
      </c>
      <c r="B4" s="362"/>
      <c r="C4" s="3679" t="s">
        <v>2226</v>
      </c>
      <c r="D4" s="3680"/>
      <c r="E4" s="3681" t="s">
        <v>2227</v>
      </c>
      <c r="F4" s="3682"/>
      <c r="G4" s="3679" t="s">
        <v>2228</v>
      </c>
      <c r="H4" s="3680"/>
      <c r="I4" s="3679" t="s">
        <v>2229</v>
      </c>
      <c r="J4" s="3680"/>
      <c r="K4" s="567" t="s">
        <v>2230</v>
      </c>
      <c r="L4" s="2893"/>
      <c r="M4" s="2894"/>
      <c r="N4" s="2894"/>
      <c r="O4" s="2894"/>
      <c r="P4" s="3683" t="s">
        <v>2231</v>
      </c>
      <c r="Q4" s="3684"/>
      <c r="R4" s="3689" t="s">
        <v>2227</v>
      </c>
      <c r="S4" s="3690"/>
      <c r="T4" s="3689" t="s">
        <v>2228</v>
      </c>
      <c r="U4" s="3690"/>
      <c r="V4" s="3695" t="s">
        <v>2229</v>
      </c>
      <c r="W4" s="3695"/>
      <c r="X4" s="1489"/>
      <c r="Y4" s="3689" t="s">
        <v>2231</v>
      </c>
      <c r="Z4" s="3690"/>
      <c r="AA4" s="3676" t="s">
        <v>2227</v>
      </c>
      <c r="AB4" s="3695" t="s">
        <v>2228</v>
      </c>
      <c r="AC4" s="3676" t="s">
        <v>2229</v>
      </c>
    </row>
    <row r="5" spans="1:29" x14ac:dyDescent="0.2">
      <c r="A5" s="364"/>
      <c r="B5" s="365"/>
      <c r="C5" s="3824" t="s">
        <v>4766</v>
      </c>
      <c r="D5" s="3699"/>
      <c r="E5" s="3824" t="s">
        <v>4766</v>
      </c>
      <c r="F5" s="3699"/>
      <c r="G5" s="3824" t="s">
        <v>4766</v>
      </c>
      <c r="H5" s="3699"/>
      <c r="I5" s="3824" t="s">
        <v>4766</v>
      </c>
      <c r="J5" s="3699"/>
      <c r="K5" s="567"/>
      <c r="L5" s="2893"/>
      <c r="M5" s="2894"/>
      <c r="N5" s="2894"/>
      <c r="O5" s="2894"/>
      <c r="P5" s="3685"/>
      <c r="Q5" s="3686"/>
      <c r="R5" s="3691"/>
      <c r="S5" s="3692"/>
      <c r="T5" s="3691"/>
      <c r="U5" s="3692"/>
      <c r="V5" s="3695"/>
      <c r="W5" s="3695"/>
      <c r="X5" s="1489"/>
      <c r="Y5" s="3691"/>
      <c r="Z5" s="3692"/>
      <c r="AA5" s="3677"/>
      <c r="AB5" s="3695"/>
      <c r="AC5" s="3677"/>
    </row>
    <row r="6" spans="1:29" ht="15" thickBot="1" x14ac:dyDescent="0.25">
      <c r="A6" s="366"/>
      <c r="B6" s="367"/>
      <c r="C6" s="3823" t="s">
        <v>4767</v>
      </c>
      <c r="D6" s="3697"/>
      <c r="E6" s="3823" t="s">
        <v>4767</v>
      </c>
      <c r="F6" s="3697"/>
      <c r="G6" s="3823" t="s">
        <v>4767</v>
      </c>
      <c r="H6" s="3697"/>
      <c r="I6" s="3823" t="s">
        <v>4767</v>
      </c>
      <c r="J6" s="3697"/>
      <c r="K6" s="567" t="s">
        <v>2127</v>
      </c>
      <c r="L6" s="2893"/>
      <c r="M6" s="2894"/>
      <c r="N6" s="2894"/>
      <c r="O6" s="2894"/>
      <c r="P6" s="3687"/>
      <c r="Q6" s="3688"/>
      <c r="R6" s="3691"/>
      <c r="S6" s="3692"/>
      <c r="T6" s="3693"/>
      <c r="U6" s="3694"/>
      <c r="V6" s="3695"/>
      <c r="W6" s="3695"/>
      <c r="X6" s="1489"/>
      <c r="Y6" s="3693"/>
      <c r="Z6" s="3694"/>
      <c r="AA6" s="3678"/>
      <c r="AB6" s="3695"/>
      <c r="AC6" s="3678"/>
    </row>
    <row r="7" spans="1:29" s="113" customFormat="1" ht="15" thickBot="1" x14ac:dyDescent="0.25">
      <c r="A7" s="368" t="s">
        <v>2128</v>
      </c>
      <c r="B7" s="369"/>
      <c r="C7" s="370">
        <f>'数据-取费表'!B2</f>
        <v>44868</v>
      </c>
      <c r="D7" s="371">
        <v>100</v>
      </c>
      <c r="E7" s="372">
        <f>C7</f>
        <v>44868</v>
      </c>
      <c r="F7" s="373">
        <f>SUMIF(58:58,YEAR(E7)&amp;"-"&amp;MONTH(E7),59:59)</f>
        <v>100</v>
      </c>
      <c r="G7" s="372">
        <f>C7</f>
        <v>44868</v>
      </c>
      <c r="H7" s="371">
        <f>SUMIF(58:58,YEAR(G7)&amp;"-"&amp;MONTH(G7),59:59)</f>
        <v>100</v>
      </c>
      <c r="I7" s="372">
        <f>C7</f>
        <v>44868</v>
      </c>
      <c r="J7" s="371">
        <f>SUMIF(58:58,YEAR(I7)&amp;"-"&amp;MONTH(I7),59:59)</f>
        <v>100</v>
      </c>
      <c r="K7" s="568"/>
      <c r="L7" s="2895"/>
      <c r="M7" s="2896"/>
      <c r="N7" s="2896"/>
      <c r="O7" s="2896"/>
      <c r="P7" s="3700" t="s">
        <v>2129</v>
      </c>
      <c r="Q7" s="3702"/>
      <c r="R7" s="709" t="s">
        <v>17</v>
      </c>
      <c r="S7" s="710">
        <f t="shared" ref="S7:S15" si="0">F7</f>
        <v>100</v>
      </c>
      <c r="T7" s="709" t="s">
        <v>17</v>
      </c>
      <c r="U7" s="710">
        <f t="shared" ref="U7:U15" si="1">H7</f>
        <v>100</v>
      </c>
      <c r="V7" s="709" t="s">
        <v>17</v>
      </c>
      <c r="W7" s="710">
        <f t="shared" ref="W7:W15" si="2">J7</f>
        <v>100</v>
      </c>
      <c r="X7" s="711"/>
      <c r="Y7" s="3700" t="s">
        <v>2129</v>
      </c>
      <c r="Z7" s="3701"/>
      <c r="AA7" s="712">
        <f>D7/F7</f>
        <v>1</v>
      </c>
      <c r="AB7" s="712">
        <f>D7/H7</f>
        <v>1</v>
      </c>
      <c r="AC7" s="712">
        <f>D7/J7</f>
        <v>1</v>
      </c>
    </row>
    <row r="8" spans="1:29" s="113" customFormat="1" ht="15" thickBot="1" x14ac:dyDescent="0.25">
      <c r="A8" s="368" t="s">
        <v>2130</v>
      </c>
      <c r="B8" s="369"/>
      <c r="C8" s="374" t="s">
        <v>2232</v>
      </c>
      <c r="D8" s="371">
        <v>100</v>
      </c>
      <c r="E8" s="374" t="s">
        <v>4768</v>
      </c>
      <c r="F8" s="373">
        <f>SUMIF(61:61,E8,62:62)-SUMIF(61:61,C8,62:62)+100</f>
        <v>100</v>
      </c>
      <c r="G8" s="374" t="s">
        <v>4768</v>
      </c>
      <c r="H8" s="371">
        <f>SUMIF(61:61,G8,62:62)-SUMIF(61:61,C8,62:62)+100</f>
        <v>100</v>
      </c>
      <c r="I8" s="374" t="s">
        <v>4768</v>
      </c>
      <c r="J8" s="371">
        <f>SUMIF(61:61,I8,62:62)-SUMIF(61:61,C8,62:62)+100</f>
        <v>100</v>
      </c>
      <c r="K8" s="568"/>
      <c r="L8" s="2895"/>
      <c r="M8" s="2896"/>
      <c r="N8" s="2896"/>
      <c r="O8" s="2896"/>
      <c r="P8" s="3700" t="s">
        <v>2132</v>
      </c>
      <c r="Q8" s="3701"/>
      <c r="R8" s="709" t="s">
        <v>17</v>
      </c>
      <c r="S8" s="710">
        <f t="shared" si="0"/>
        <v>100</v>
      </c>
      <c r="T8" s="709" t="s">
        <v>17</v>
      </c>
      <c r="U8" s="710">
        <f t="shared" si="1"/>
        <v>100</v>
      </c>
      <c r="V8" s="709" t="s">
        <v>17</v>
      </c>
      <c r="W8" s="710">
        <f t="shared" si="2"/>
        <v>100</v>
      </c>
      <c r="X8" s="711"/>
      <c r="Y8" s="3700" t="s">
        <v>2132</v>
      </c>
      <c r="Z8" s="3701"/>
      <c r="AA8" s="712">
        <f t="shared" ref="AA8:AA46" si="3">D8/F8</f>
        <v>1</v>
      </c>
      <c r="AB8" s="712">
        <f t="shared" ref="AB8:AB46" si="4">D8/H8</f>
        <v>1</v>
      </c>
      <c r="AC8" s="712">
        <f t="shared" ref="AC8:AC46" si="5">D8/J8</f>
        <v>1</v>
      </c>
    </row>
    <row r="9" spans="1:29" s="113" customFormat="1" x14ac:dyDescent="0.2">
      <c r="A9" s="375" t="s">
        <v>2133</v>
      </c>
      <c r="B9" s="67" t="s">
        <v>2134</v>
      </c>
      <c r="C9" s="376" t="s">
        <v>4769</v>
      </c>
      <c r="D9" s="131">
        <v>100</v>
      </c>
      <c r="E9" s="377" t="s">
        <v>1102</v>
      </c>
      <c r="F9" s="378">
        <f>SUMIF(63:63,E9,64:64)-SUMIF(63:63,C9,64:64)+100</f>
        <v>100</v>
      </c>
      <c r="G9" s="377" t="s">
        <v>1102</v>
      </c>
      <c r="H9" s="131">
        <f>SUMIF(63:63,G9,64:64)-SUMIF(63:63,C9,64:64)+100</f>
        <v>100</v>
      </c>
      <c r="I9" s="377" t="s">
        <v>1102</v>
      </c>
      <c r="J9" s="131">
        <f>SUMIF(63:63,I9,64:64)-SUMIF(63:63,C9,64:64)+100</f>
        <v>100</v>
      </c>
      <c r="K9" s="568"/>
      <c r="L9" s="2895"/>
      <c r="M9" s="2896"/>
      <c r="N9" s="2896"/>
      <c r="O9" s="2896"/>
      <c r="P9" s="3675" t="s">
        <v>2135</v>
      </c>
      <c r="Q9" s="1477" t="str">
        <f t="shared" ref="Q9:Q15" si="6">B9</f>
        <v>用途</v>
      </c>
      <c r="R9" s="709" t="s">
        <v>17</v>
      </c>
      <c r="S9" s="710">
        <f t="shared" si="0"/>
        <v>100</v>
      </c>
      <c r="T9" s="709" t="s">
        <v>17</v>
      </c>
      <c r="U9" s="710">
        <f t="shared" si="1"/>
        <v>100</v>
      </c>
      <c r="V9" s="709" t="s">
        <v>17</v>
      </c>
      <c r="W9" s="710">
        <f t="shared" si="2"/>
        <v>100</v>
      </c>
      <c r="X9" s="711"/>
      <c r="Y9" s="3536" t="s">
        <v>2136</v>
      </c>
      <c r="Z9" s="55" t="str">
        <f t="shared" ref="Z9:Z15" si="7">Q9</f>
        <v>用途</v>
      </c>
      <c r="AA9" s="712">
        <f t="shared" si="3"/>
        <v>1</v>
      </c>
      <c r="AB9" s="712">
        <f t="shared" si="4"/>
        <v>1</v>
      </c>
      <c r="AC9" s="712">
        <f t="shared" si="5"/>
        <v>1</v>
      </c>
    </row>
    <row r="10" spans="1:29" s="386" customFormat="1" ht="27" customHeight="1" thickBot="1" x14ac:dyDescent="0.25">
      <c r="A10" s="380"/>
      <c r="B10" s="381" t="s">
        <v>2137</v>
      </c>
      <c r="C10" s="382" t="s">
        <v>4770</v>
      </c>
      <c r="D10" s="132">
        <v>100</v>
      </c>
      <c r="E10" s="383" t="s">
        <v>4770</v>
      </c>
      <c r="F10" s="384">
        <f>SUMIF(65:65,E10,66:66)-SUMIF(65:65,C10,66:66)+100</f>
        <v>100</v>
      </c>
      <c r="G10" s="382" t="s">
        <v>4770</v>
      </c>
      <c r="H10" s="132">
        <f>SUMIF(65:65,G10,66:66)-SUMIF(65:65,C10,66:66)+100</f>
        <v>100</v>
      </c>
      <c r="I10" s="382" t="s">
        <v>4770</v>
      </c>
      <c r="J10" s="132">
        <f>SUMIF(65:65,I10,66:66)-SUMIF(65:65,C10,66:66)+100</f>
        <v>100</v>
      </c>
      <c r="K10" s="569"/>
      <c r="L10" s="2897"/>
      <c r="M10" s="2898"/>
      <c r="N10" s="2898"/>
      <c r="O10" s="2898"/>
      <c r="P10" s="3675"/>
      <c r="Q10" s="1477" t="str">
        <f t="shared" si="6"/>
        <v>土地使用年限（年）</v>
      </c>
      <c r="R10" s="709" t="s">
        <v>17</v>
      </c>
      <c r="S10" s="710">
        <f t="shared" si="0"/>
        <v>100</v>
      </c>
      <c r="T10" s="709" t="s">
        <v>17</v>
      </c>
      <c r="U10" s="710">
        <f t="shared" si="1"/>
        <v>100</v>
      </c>
      <c r="V10" s="709" t="s">
        <v>17</v>
      </c>
      <c r="W10" s="710">
        <f t="shared" si="2"/>
        <v>100</v>
      </c>
      <c r="X10" s="711"/>
      <c r="Y10" s="3536"/>
      <c r="Z10" s="55" t="str">
        <f t="shared" si="7"/>
        <v>土地使用年限（年）</v>
      </c>
      <c r="AA10" s="712">
        <f t="shared" si="3"/>
        <v>1</v>
      </c>
      <c r="AB10" s="712">
        <f t="shared" si="4"/>
        <v>1</v>
      </c>
      <c r="AC10" s="712">
        <f t="shared" si="5"/>
        <v>1</v>
      </c>
    </row>
    <row r="11" spans="1:29" ht="16" hidden="1" x14ac:dyDescent="0.2">
      <c r="A11" s="387"/>
      <c r="B11" s="381" t="s">
        <v>2138</v>
      </c>
      <c r="C11" s="388">
        <v>4</v>
      </c>
      <c r="D11" s="132">
        <v>100</v>
      </c>
      <c r="E11" s="389">
        <v>4</v>
      </c>
      <c r="F11" s="384">
        <f>LOOKUP(E11,68:68,69:69)-LOOKUP(C11,68:68,69:69)+100</f>
        <v>100</v>
      </c>
      <c r="G11" s="388">
        <v>4</v>
      </c>
      <c r="H11" s="132">
        <f>LOOKUP(G11,68:68,69:69)-LOOKUP(C11,68:68,69:69)+100</f>
        <v>100</v>
      </c>
      <c r="I11" s="388">
        <v>4</v>
      </c>
      <c r="J11" s="132">
        <f>LOOKUP(I11,68:68,69:69)-LOOKUP(C11,68:68,69:69)+100</f>
        <v>100</v>
      </c>
      <c r="K11" s="569"/>
      <c r="L11" s="2899"/>
      <c r="M11" s="2894"/>
      <c r="N11" s="2894"/>
      <c r="O11" s="2894"/>
      <c r="P11" s="3675"/>
      <c r="Q11" s="1477" t="str">
        <f t="shared" si="6"/>
        <v>容积率</v>
      </c>
      <c r="R11" s="709" t="s">
        <v>17</v>
      </c>
      <c r="S11" s="710">
        <f t="shared" si="0"/>
        <v>100</v>
      </c>
      <c r="T11" s="709" t="s">
        <v>17</v>
      </c>
      <c r="U11" s="710">
        <f t="shared" si="1"/>
        <v>100</v>
      </c>
      <c r="V11" s="709" t="s">
        <v>17</v>
      </c>
      <c r="W11" s="710">
        <f t="shared" si="2"/>
        <v>100</v>
      </c>
      <c r="X11" s="711"/>
      <c r="Y11" s="3536"/>
      <c r="Z11" s="55" t="str">
        <f t="shared" si="7"/>
        <v>容积率</v>
      </c>
      <c r="AA11" s="712">
        <f t="shared" si="3"/>
        <v>1</v>
      </c>
      <c r="AB11" s="712">
        <f t="shared" si="4"/>
        <v>1</v>
      </c>
      <c r="AC11" s="712">
        <f t="shared" si="5"/>
        <v>1</v>
      </c>
    </row>
    <row r="12" spans="1:29" s="113" customFormat="1" ht="16" hidden="1" x14ac:dyDescent="0.2">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675"/>
      <c r="Q12" s="1477">
        <f t="shared" si="6"/>
        <v>111</v>
      </c>
      <c r="R12" s="709" t="s">
        <v>17</v>
      </c>
      <c r="S12" s="710">
        <f t="shared" si="0"/>
        <v>100</v>
      </c>
      <c r="T12" s="709" t="s">
        <v>17</v>
      </c>
      <c r="U12" s="710">
        <f t="shared" si="1"/>
        <v>100</v>
      </c>
      <c r="V12" s="709" t="s">
        <v>17</v>
      </c>
      <c r="W12" s="710">
        <f t="shared" si="2"/>
        <v>100</v>
      </c>
      <c r="X12" s="711"/>
      <c r="Y12" s="3536"/>
      <c r="Z12" s="55">
        <f t="shared" si="7"/>
        <v>111</v>
      </c>
      <c r="AA12" s="712">
        <f>D12/F12</f>
        <v>1</v>
      </c>
      <c r="AB12" s="712">
        <f>D12/H12</f>
        <v>1</v>
      </c>
      <c r="AC12" s="712">
        <f>D12/J12</f>
        <v>1</v>
      </c>
    </row>
    <row r="13" spans="1:29" ht="16" hidden="1" x14ac:dyDescent="0.2">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675"/>
      <c r="Q13" s="1477">
        <f t="shared" si="6"/>
        <v>111</v>
      </c>
      <c r="R13" s="709" t="s">
        <v>17</v>
      </c>
      <c r="S13" s="710">
        <f t="shared" si="0"/>
        <v>100</v>
      </c>
      <c r="T13" s="709" t="s">
        <v>17</v>
      </c>
      <c r="U13" s="710">
        <f t="shared" si="1"/>
        <v>100</v>
      </c>
      <c r="V13" s="709" t="s">
        <v>17</v>
      </c>
      <c r="W13" s="710">
        <f t="shared" si="2"/>
        <v>100</v>
      </c>
      <c r="X13" s="711"/>
      <c r="Y13" s="3536"/>
      <c r="Z13" s="55">
        <f t="shared" si="7"/>
        <v>111</v>
      </c>
      <c r="AA13" s="712">
        <f t="shared" si="3"/>
        <v>1</v>
      </c>
      <c r="AB13" s="712">
        <f t="shared" si="4"/>
        <v>1</v>
      </c>
      <c r="AC13" s="712">
        <f t="shared" si="5"/>
        <v>1</v>
      </c>
    </row>
    <row r="14" spans="1:29" ht="17" hidden="1" thickBot="1" x14ac:dyDescent="0.25">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675"/>
      <c r="Q14" s="1477">
        <f t="shared" si="6"/>
        <v>111</v>
      </c>
      <c r="R14" s="709" t="s">
        <v>17</v>
      </c>
      <c r="S14" s="710">
        <f t="shared" si="0"/>
        <v>100</v>
      </c>
      <c r="T14" s="709" t="s">
        <v>17</v>
      </c>
      <c r="U14" s="710">
        <f t="shared" si="1"/>
        <v>100</v>
      </c>
      <c r="V14" s="709" t="s">
        <v>17</v>
      </c>
      <c r="W14" s="710">
        <f t="shared" si="2"/>
        <v>100</v>
      </c>
      <c r="X14" s="711"/>
      <c r="Y14" s="3536"/>
      <c r="Z14" s="55">
        <f t="shared" si="7"/>
        <v>111</v>
      </c>
      <c r="AA14" s="712">
        <f t="shared" si="3"/>
        <v>1</v>
      </c>
      <c r="AB14" s="712">
        <f t="shared" si="4"/>
        <v>1</v>
      </c>
      <c r="AC14" s="712">
        <f t="shared" si="5"/>
        <v>1</v>
      </c>
    </row>
    <row r="15" spans="1:29" ht="70" x14ac:dyDescent="0.2">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673" t="s">
        <v>2140</v>
      </c>
      <c r="Q15" s="1486" t="str">
        <f t="shared" si="6"/>
        <v>商业繁华度</v>
      </c>
      <c r="R15" s="713" t="s">
        <v>17</v>
      </c>
      <c r="S15" s="714">
        <f t="shared" si="0"/>
        <v>100</v>
      </c>
      <c r="T15" s="713" t="s">
        <v>17</v>
      </c>
      <c r="U15" s="714">
        <f t="shared" si="1"/>
        <v>100</v>
      </c>
      <c r="V15" s="713" t="s">
        <v>17</v>
      </c>
      <c r="W15" s="714">
        <f t="shared" si="2"/>
        <v>100</v>
      </c>
      <c r="X15" s="1489"/>
      <c r="Y15" s="3666" t="s">
        <v>2140</v>
      </c>
      <c r="Z15" s="1490" t="str">
        <f t="shared" si="7"/>
        <v>商业繁华度</v>
      </c>
      <c r="AA15" s="1487">
        <f t="shared" si="3"/>
        <v>1</v>
      </c>
      <c r="AB15" s="1487">
        <f t="shared" si="4"/>
        <v>1</v>
      </c>
      <c r="AC15" s="1487">
        <f t="shared" si="5"/>
        <v>1</v>
      </c>
    </row>
    <row r="16" spans="1:29" ht="16" x14ac:dyDescent="0.2">
      <c r="A16" s="387"/>
      <c r="B16" s="405"/>
      <c r="C16" s="406"/>
      <c r="D16" s="407"/>
      <c r="E16" s="406"/>
      <c r="F16" s="408"/>
      <c r="G16" s="406"/>
      <c r="H16" s="409"/>
      <c r="I16" s="406"/>
      <c r="J16" s="407"/>
      <c r="K16" s="572"/>
      <c r="L16" s="2900"/>
      <c r="M16" s="2894"/>
      <c r="N16" s="2894"/>
      <c r="O16" s="2894"/>
      <c r="P16" s="3674"/>
      <c r="Q16" s="1486"/>
      <c r="R16" s="713"/>
      <c r="S16" s="714"/>
      <c r="T16" s="713"/>
      <c r="U16" s="714"/>
      <c r="V16" s="713"/>
      <c r="W16" s="714"/>
      <c r="X16" s="1489"/>
      <c r="Y16" s="3667"/>
      <c r="Z16" s="1490"/>
      <c r="AA16" s="1487">
        <v>1</v>
      </c>
      <c r="AB16" s="1487">
        <v>1</v>
      </c>
      <c r="AC16" s="1487">
        <v>1</v>
      </c>
    </row>
    <row r="17" spans="1:29" ht="84" x14ac:dyDescent="0.2">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674"/>
      <c r="Q17" s="1486" t="str">
        <f>B17</f>
        <v>交通便捷度</v>
      </c>
      <c r="R17" s="713" t="s">
        <v>17</v>
      </c>
      <c r="S17" s="714">
        <f>F17</f>
        <v>100</v>
      </c>
      <c r="T17" s="713" t="s">
        <v>17</v>
      </c>
      <c r="U17" s="714">
        <f>H17</f>
        <v>100</v>
      </c>
      <c r="V17" s="713" t="s">
        <v>17</v>
      </c>
      <c r="W17" s="714">
        <f>J17</f>
        <v>100</v>
      </c>
      <c r="X17" s="1489"/>
      <c r="Y17" s="3667"/>
      <c r="Z17" s="1490" t="str">
        <f>Q17</f>
        <v>交通便捷度</v>
      </c>
      <c r="AA17" s="1487">
        <f t="shared" si="3"/>
        <v>1</v>
      </c>
      <c r="AB17" s="1487">
        <f t="shared" si="4"/>
        <v>1</v>
      </c>
      <c r="AC17" s="1487">
        <f t="shared" si="5"/>
        <v>1</v>
      </c>
    </row>
    <row r="18" spans="1:29" ht="16" x14ac:dyDescent="0.2">
      <c r="A18" s="387"/>
      <c r="B18" s="415"/>
      <c r="C18" s="2037"/>
      <c r="D18" s="409"/>
      <c r="E18" s="2039"/>
      <c r="F18" s="412"/>
      <c r="G18" s="2038"/>
      <c r="H18" s="407"/>
      <c r="I18" s="2039"/>
      <c r="J18" s="407"/>
      <c r="K18" s="572"/>
      <c r="L18" s="2900"/>
      <c r="M18" s="2894"/>
      <c r="N18" s="2894"/>
      <c r="O18" s="2894"/>
      <c r="P18" s="3674"/>
      <c r="Q18" s="1486"/>
      <c r="R18" s="713"/>
      <c r="S18" s="714"/>
      <c r="T18" s="713"/>
      <c r="U18" s="714"/>
      <c r="V18" s="713"/>
      <c r="W18" s="714"/>
      <c r="X18" s="1489"/>
      <c r="Y18" s="3667"/>
      <c r="Z18" s="1490"/>
      <c r="AA18" s="1487">
        <v>1</v>
      </c>
      <c r="AB18" s="1487">
        <v>1</v>
      </c>
      <c r="AC18" s="1487">
        <v>1</v>
      </c>
    </row>
    <row r="19" spans="1:29" ht="42" x14ac:dyDescent="0.2">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674"/>
      <c r="Q19" s="1486" t="str">
        <f>B19</f>
        <v>公共配套设施</v>
      </c>
      <c r="R19" s="713" t="s">
        <v>17</v>
      </c>
      <c r="S19" s="714">
        <f>F19</f>
        <v>100</v>
      </c>
      <c r="T19" s="713" t="s">
        <v>17</v>
      </c>
      <c r="U19" s="714">
        <f>H19</f>
        <v>100</v>
      </c>
      <c r="V19" s="713" t="s">
        <v>17</v>
      </c>
      <c r="W19" s="714">
        <f>J19</f>
        <v>100</v>
      </c>
      <c r="X19" s="1489"/>
      <c r="Y19" s="3667"/>
      <c r="Z19" s="1490" t="str">
        <f>Q19</f>
        <v>公共配套设施</v>
      </c>
      <c r="AA19" s="1487">
        <f t="shared" si="3"/>
        <v>1</v>
      </c>
      <c r="AB19" s="1487">
        <f t="shared" si="4"/>
        <v>1</v>
      </c>
      <c r="AC19" s="1487">
        <f t="shared" si="5"/>
        <v>1</v>
      </c>
    </row>
    <row r="20" spans="1:29" ht="16" x14ac:dyDescent="0.2">
      <c r="A20" s="387"/>
      <c r="B20" s="415"/>
      <c r="C20" s="406"/>
      <c r="D20" s="407"/>
      <c r="E20" s="2034"/>
      <c r="F20" s="408"/>
      <c r="G20" s="2033"/>
      <c r="H20" s="407"/>
      <c r="I20" s="2034"/>
      <c r="J20" s="407"/>
      <c r="K20" s="572"/>
      <c r="L20" s="2900"/>
      <c r="M20" s="2894"/>
      <c r="N20" s="2894"/>
      <c r="O20" s="2894"/>
      <c r="P20" s="3674"/>
      <c r="Q20" s="1486"/>
      <c r="R20" s="713"/>
      <c r="S20" s="714"/>
      <c r="T20" s="713"/>
      <c r="U20" s="714"/>
      <c r="V20" s="713"/>
      <c r="W20" s="714"/>
      <c r="X20" s="1489"/>
      <c r="Y20" s="3667"/>
      <c r="Z20" s="1490"/>
      <c r="AA20" s="1487">
        <v>1</v>
      </c>
      <c r="AB20" s="1487">
        <v>1</v>
      </c>
      <c r="AC20" s="1487">
        <v>1</v>
      </c>
    </row>
    <row r="21" spans="1:29" ht="28" x14ac:dyDescent="0.2">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674"/>
      <c r="Q21" s="1486" t="str">
        <f>B21</f>
        <v>基础设施水平</v>
      </c>
      <c r="R21" s="713" t="s">
        <v>17</v>
      </c>
      <c r="S21" s="714">
        <f>F21</f>
        <v>100</v>
      </c>
      <c r="T21" s="713" t="s">
        <v>17</v>
      </c>
      <c r="U21" s="714">
        <f>H21</f>
        <v>100</v>
      </c>
      <c r="V21" s="713" t="s">
        <v>17</v>
      </c>
      <c r="W21" s="714">
        <f>J21</f>
        <v>100</v>
      </c>
      <c r="X21" s="1489"/>
      <c r="Y21" s="3667"/>
      <c r="Z21" s="1490" t="str">
        <f>Q21</f>
        <v>基础设施水平</v>
      </c>
      <c r="AA21" s="1487">
        <f t="shared" ref="AA21" si="8">D21/F21</f>
        <v>1</v>
      </c>
      <c r="AB21" s="1487">
        <f t="shared" ref="AB21" si="9">D21/H21</f>
        <v>1</v>
      </c>
      <c r="AC21" s="1487">
        <f t="shared" ref="AC21" si="10">D21/J21</f>
        <v>1</v>
      </c>
    </row>
    <row r="22" spans="1:29" ht="16" x14ac:dyDescent="0.2">
      <c r="A22" s="387"/>
      <c r="B22" s="1245"/>
      <c r="C22" s="2037"/>
      <c r="D22" s="407"/>
      <c r="E22" s="406"/>
      <c r="F22" s="408"/>
      <c r="G22" s="406"/>
      <c r="H22" s="407"/>
      <c r="I22" s="406"/>
      <c r="J22" s="407"/>
      <c r="K22" s="1244"/>
      <c r="L22" s="2900"/>
      <c r="M22" s="2894"/>
      <c r="N22" s="2894"/>
      <c r="O22" s="2894"/>
      <c r="P22" s="3674"/>
      <c r="Q22" s="1486"/>
      <c r="R22" s="713"/>
      <c r="S22" s="714"/>
      <c r="T22" s="713"/>
      <c r="U22" s="714"/>
      <c r="V22" s="713"/>
      <c r="W22" s="714"/>
      <c r="X22" s="1489"/>
      <c r="Y22" s="3667"/>
      <c r="Z22" s="1490"/>
      <c r="AA22" s="1487">
        <v>1</v>
      </c>
      <c r="AB22" s="1487">
        <v>1</v>
      </c>
      <c r="AC22" s="1487">
        <v>1</v>
      </c>
    </row>
    <row r="23" spans="1:29" ht="56" x14ac:dyDescent="0.2">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674"/>
      <c r="Q23" s="1486" t="str">
        <f>B23</f>
        <v>自然及人文环境</v>
      </c>
      <c r="R23" s="713" t="s">
        <v>17</v>
      </c>
      <c r="S23" s="714">
        <f>F23</f>
        <v>100</v>
      </c>
      <c r="T23" s="713" t="s">
        <v>17</v>
      </c>
      <c r="U23" s="714">
        <f>H23</f>
        <v>100</v>
      </c>
      <c r="V23" s="713" t="s">
        <v>17</v>
      </c>
      <c r="W23" s="714">
        <f>J23</f>
        <v>100</v>
      </c>
      <c r="X23" s="1489"/>
      <c r="Y23" s="3667"/>
      <c r="Z23" s="1490" t="str">
        <f>Q23</f>
        <v>自然及人文环境</v>
      </c>
      <c r="AA23" s="1487">
        <f t="shared" si="3"/>
        <v>1</v>
      </c>
      <c r="AB23" s="1487">
        <f t="shared" si="4"/>
        <v>1</v>
      </c>
      <c r="AC23" s="1487">
        <f t="shared" si="5"/>
        <v>1</v>
      </c>
    </row>
    <row r="24" spans="1:29" ht="16" x14ac:dyDescent="0.2">
      <c r="A24" s="387"/>
      <c r="B24" s="415"/>
      <c r="C24" s="406"/>
      <c r="D24" s="407"/>
      <c r="E24" s="2034"/>
      <c r="F24" s="408"/>
      <c r="G24" s="2033"/>
      <c r="H24" s="407"/>
      <c r="I24" s="2034"/>
      <c r="J24" s="407"/>
      <c r="K24" s="572"/>
      <c r="L24" s="2900"/>
      <c r="M24" s="2894"/>
      <c r="N24" s="2894"/>
      <c r="O24" s="2894"/>
      <c r="P24" s="3674"/>
      <c r="Q24" s="1486"/>
      <c r="R24" s="713"/>
      <c r="S24" s="714"/>
      <c r="T24" s="713"/>
      <c r="U24" s="714"/>
      <c r="V24" s="713"/>
      <c r="W24" s="714"/>
      <c r="X24" s="1489"/>
      <c r="Y24" s="3667"/>
      <c r="Z24" s="1490"/>
      <c r="AA24" s="1487">
        <v>1</v>
      </c>
      <c r="AB24" s="1487">
        <v>1</v>
      </c>
      <c r="AC24" s="1487">
        <v>1</v>
      </c>
    </row>
    <row r="25" spans="1:29" ht="16" x14ac:dyDescent="0.2">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674"/>
      <c r="Q25" s="1486" t="str">
        <f t="shared" ref="Q25:Q46" si="11">B25</f>
        <v>临街状况</v>
      </c>
      <c r="R25" s="713" t="s">
        <v>17</v>
      </c>
      <c r="S25" s="714">
        <f>F25</f>
        <v>100</v>
      </c>
      <c r="T25" s="713" t="s">
        <v>17</v>
      </c>
      <c r="U25" s="714">
        <f>H25</f>
        <v>100</v>
      </c>
      <c r="V25" s="713" t="s">
        <v>17</v>
      </c>
      <c r="W25" s="714">
        <f>J25</f>
        <v>100</v>
      </c>
      <c r="X25" s="1489"/>
      <c r="Y25" s="3667"/>
      <c r="Z25" s="1490" t="str">
        <f>Q25</f>
        <v>临街状况</v>
      </c>
      <c r="AA25" s="1487">
        <f t="shared" si="3"/>
        <v>1</v>
      </c>
      <c r="AB25" s="1487">
        <f t="shared" si="4"/>
        <v>1</v>
      </c>
      <c r="AC25" s="1487">
        <f t="shared" si="5"/>
        <v>1</v>
      </c>
    </row>
    <row r="26" spans="1:29" ht="16" x14ac:dyDescent="0.2">
      <c r="A26" s="387"/>
      <c r="B26" s="1247"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674"/>
      <c r="Q26" s="1486" t="str">
        <f t="shared" si="11"/>
        <v>平面位置/可视性</v>
      </c>
      <c r="R26" s="713" t="s">
        <v>17</v>
      </c>
      <c r="S26" s="714">
        <f>F26</f>
        <v>100</v>
      </c>
      <c r="T26" s="713" t="s">
        <v>17</v>
      </c>
      <c r="U26" s="714">
        <f>H26</f>
        <v>100</v>
      </c>
      <c r="V26" s="713" t="s">
        <v>17</v>
      </c>
      <c r="W26" s="714">
        <f>J26</f>
        <v>100</v>
      </c>
      <c r="X26" s="1489"/>
      <c r="Y26" s="3667"/>
      <c r="Z26" s="1490" t="str">
        <f>Q26</f>
        <v>平面位置/可视性</v>
      </c>
      <c r="AA26" s="1487">
        <f t="shared" si="3"/>
        <v>1</v>
      </c>
      <c r="AB26" s="1487">
        <f t="shared" si="4"/>
        <v>1</v>
      </c>
      <c r="AC26" s="1487">
        <f t="shared" si="5"/>
        <v>1</v>
      </c>
    </row>
    <row r="27" spans="1:29" s="113" customFormat="1" ht="16" x14ac:dyDescent="0.2">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674"/>
      <c r="Q27" s="1477" t="str">
        <f t="shared" si="11"/>
        <v>人流量</v>
      </c>
      <c r="R27" s="709" t="s">
        <v>17</v>
      </c>
      <c r="S27" s="710">
        <f>F27</f>
        <v>100</v>
      </c>
      <c r="T27" s="709" t="s">
        <v>17</v>
      </c>
      <c r="U27" s="710">
        <f>H27</f>
        <v>100</v>
      </c>
      <c r="V27" s="709" t="s">
        <v>17</v>
      </c>
      <c r="W27" s="710">
        <f>J27</f>
        <v>100</v>
      </c>
      <c r="X27" s="711"/>
      <c r="Y27" s="3667"/>
      <c r="Z27" s="55" t="str">
        <f>Q27</f>
        <v>人流量</v>
      </c>
      <c r="AA27" s="1487">
        <f>D27/F27</f>
        <v>1</v>
      </c>
      <c r="AB27" s="1487">
        <f>D27/H27</f>
        <v>1</v>
      </c>
      <c r="AC27" s="1487">
        <f>D27/J27</f>
        <v>1</v>
      </c>
    </row>
    <row r="28" spans="1:29" ht="16" x14ac:dyDescent="0.2">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674"/>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667"/>
      <c r="Z28" s="1490" t="str">
        <f t="shared" ref="Z28:Z46" si="15">Q28</f>
        <v>楼层</v>
      </c>
      <c r="AA28" s="1487">
        <f t="shared" si="3"/>
        <v>1</v>
      </c>
      <c r="AB28" s="1487">
        <f t="shared" si="4"/>
        <v>1</v>
      </c>
      <c r="AC28" s="1487">
        <f t="shared" si="5"/>
        <v>1</v>
      </c>
    </row>
    <row r="29" spans="1:29" ht="16" x14ac:dyDescent="0.2">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674"/>
      <c r="Q29" s="1486">
        <f t="shared" si="11"/>
        <v>111</v>
      </c>
      <c r="R29" s="713" t="s">
        <v>17</v>
      </c>
      <c r="S29" s="714">
        <f t="shared" si="12"/>
        <v>100</v>
      </c>
      <c r="T29" s="713" t="s">
        <v>17</v>
      </c>
      <c r="U29" s="714">
        <f t="shared" si="13"/>
        <v>100</v>
      </c>
      <c r="V29" s="713" t="s">
        <v>17</v>
      </c>
      <c r="W29" s="714">
        <f t="shared" si="14"/>
        <v>100</v>
      </c>
      <c r="X29" s="1489"/>
      <c r="Y29" s="3667"/>
      <c r="Z29" s="1490">
        <f t="shared" si="15"/>
        <v>111</v>
      </c>
      <c r="AA29" s="1487">
        <f t="shared" si="3"/>
        <v>1</v>
      </c>
      <c r="AB29" s="1487">
        <f t="shared" si="4"/>
        <v>1</v>
      </c>
      <c r="AC29" s="1487">
        <f t="shared" si="5"/>
        <v>1</v>
      </c>
    </row>
    <row r="30" spans="1:29" ht="16" x14ac:dyDescent="0.2">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674"/>
      <c r="Q30" s="1486">
        <f t="shared" si="11"/>
        <v>111</v>
      </c>
      <c r="R30" s="713" t="s">
        <v>17</v>
      </c>
      <c r="S30" s="714">
        <f t="shared" si="12"/>
        <v>100</v>
      </c>
      <c r="T30" s="713" t="s">
        <v>17</v>
      </c>
      <c r="U30" s="714">
        <f t="shared" si="13"/>
        <v>100</v>
      </c>
      <c r="V30" s="713" t="s">
        <v>17</v>
      </c>
      <c r="W30" s="714">
        <f t="shared" si="14"/>
        <v>100</v>
      </c>
      <c r="X30" s="1489"/>
      <c r="Y30" s="3667"/>
      <c r="Z30" s="1490">
        <f t="shared" si="15"/>
        <v>111</v>
      </c>
      <c r="AA30" s="1487">
        <f t="shared" si="3"/>
        <v>1</v>
      </c>
      <c r="AB30" s="1487">
        <f t="shared" si="4"/>
        <v>1</v>
      </c>
      <c r="AC30" s="1487">
        <f t="shared" si="5"/>
        <v>1</v>
      </c>
    </row>
    <row r="31" spans="1:29" ht="17" thickBot="1" x14ac:dyDescent="0.25">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674"/>
      <c r="Q31" s="1486">
        <f t="shared" si="11"/>
        <v>111</v>
      </c>
      <c r="R31" s="713" t="s">
        <v>17</v>
      </c>
      <c r="S31" s="714">
        <f t="shared" si="12"/>
        <v>100</v>
      </c>
      <c r="T31" s="713" t="s">
        <v>17</v>
      </c>
      <c r="U31" s="714">
        <f t="shared" si="13"/>
        <v>100</v>
      </c>
      <c r="V31" s="713" t="s">
        <v>17</v>
      </c>
      <c r="W31" s="714">
        <f t="shared" si="14"/>
        <v>100</v>
      </c>
      <c r="X31" s="1489"/>
      <c r="Y31" s="3667"/>
      <c r="Z31" s="1490">
        <f t="shared" si="15"/>
        <v>111</v>
      </c>
      <c r="AA31" s="1487">
        <f t="shared" si="3"/>
        <v>1</v>
      </c>
      <c r="AB31" s="1487">
        <f t="shared" si="4"/>
        <v>1</v>
      </c>
      <c r="AC31" s="1487">
        <f t="shared" si="5"/>
        <v>1</v>
      </c>
    </row>
    <row r="32" spans="1:29" ht="16" x14ac:dyDescent="0.2">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668" t="s">
        <v>2145</v>
      </c>
      <c r="Q32" s="1486" t="str">
        <f t="shared" si="11"/>
        <v>商业类型</v>
      </c>
      <c r="R32" s="713" t="s">
        <v>17</v>
      </c>
      <c r="S32" s="714">
        <f t="shared" si="12"/>
        <v>100</v>
      </c>
      <c r="T32" s="713" t="s">
        <v>17</v>
      </c>
      <c r="U32" s="714">
        <f t="shared" si="13"/>
        <v>100</v>
      </c>
      <c r="V32" s="713" t="s">
        <v>17</v>
      </c>
      <c r="W32" s="714">
        <f t="shared" si="14"/>
        <v>100</v>
      </c>
      <c r="X32" s="1489"/>
      <c r="Y32" s="3671" t="s">
        <v>2145</v>
      </c>
      <c r="Z32" s="1490" t="str">
        <f t="shared" si="15"/>
        <v>商业类型</v>
      </c>
      <c r="AA32" s="1487">
        <f t="shared" si="3"/>
        <v>1</v>
      </c>
      <c r="AB32" s="1487">
        <f t="shared" si="4"/>
        <v>1</v>
      </c>
      <c r="AC32" s="1487">
        <f t="shared" si="5"/>
        <v>1</v>
      </c>
    </row>
    <row r="33" spans="1:29" s="430" customFormat="1" ht="16" x14ac:dyDescent="0.2">
      <c r="A33" s="427"/>
      <c r="B33" s="381" t="s">
        <v>2146</v>
      </c>
      <c r="C33" s="428">
        <v>1</v>
      </c>
      <c r="D33" s="132">
        <v>100</v>
      </c>
      <c r="E33" s="389">
        <v>1</v>
      </c>
      <c r="F33" s="384">
        <f>LOOKUP(E33,103:103,104:104)-LOOKUP(C33,103:103,104:104)+100</f>
        <v>100</v>
      </c>
      <c r="G33" s="388">
        <v>1</v>
      </c>
      <c r="H33" s="132">
        <f>LOOKUP(G33,103:103,104:104)-LOOKUP(C33,103:103,104:104)+100</f>
        <v>100</v>
      </c>
      <c r="I33" s="388">
        <v>1</v>
      </c>
      <c r="J33" s="132">
        <f>LOOKUP(I33,103:103,104:104)-LOOKUP(C33,103:103,104:104)+100</f>
        <v>100</v>
      </c>
      <c r="K33" s="570"/>
      <c r="L33" s="2899"/>
      <c r="M33" s="2901"/>
      <c r="N33" s="2901"/>
      <c r="O33" s="2901"/>
      <c r="P33" s="3669"/>
      <c r="Q33" s="715" t="str">
        <f t="shared" si="11"/>
        <v>项目建筑规模</v>
      </c>
      <c r="R33" s="716" t="s">
        <v>17</v>
      </c>
      <c r="S33" s="717">
        <f t="shared" si="12"/>
        <v>100</v>
      </c>
      <c r="T33" s="716" t="s">
        <v>17</v>
      </c>
      <c r="U33" s="717">
        <f t="shared" si="13"/>
        <v>100</v>
      </c>
      <c r="V33" s="716" t="s">
        <v>17</v>
      </c>
      <c r="W33" s="717">
        <f t="shared" si="14"/>
        <v>100</v>
      </c>
      <c r="X33" s="718"/>
      <c r="Y33" s="3671"/>
      <c r="Z33" s="719" t="str">
        <f t="shared" si="15"/>
        <v>项目建筑规模</v>
      </c>
      <c r="AA33" s="1487">
        <f t="shared" si="3"/>
        <v>1</v>
      </c>
      <c r="AB33" s="1487">
        <f t="shared" si="4"/>
        <v>1</v>
      </c>
      <c r="AC33" s="1487">
        <f t="shared" si="5"/>
        <v>1</v>
      </c>
    </row>
    <row r="34" spans="1:29" ht="16" x14ac:dyDescent="0.2">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669"/>
      <c r="Q34" s="1486" t="str">
        <f t="shared" si="11"/>
        <v>建筑结构</v>
      </c>
      <c r="R34" s="713" t="s">
        <v>17</v>
      </c>
      <c r="S34" s="714">
        <f t="shared" si="12"/>
        <v>100</v>
      </c>
      <c r="T34" s="713" t="s">
        <v>17</v>
      </c>
      <c r="U34" s="714">
        <f t="shared" si="13"/>
        <v>100</v>
      </c>
      <c r="V34" s="713" t="s">
        <v>17</v>
      </c>
      <c r="W34" s="714">
        <f t="shared" si="14"/>
        <v>100</v>
      </c>
      <c r="X34" s="1489"/>
      <c r="Y34" s="3671"/>
      <c r="Z34" s="1490" t="str">
        <f t="shared" si="15"/>
        <v>建筑结构</v>
      </c>
      <c r="AA34" s="1487">
        <f t="shared" si="3"/>
        <v>1</v>
      </c>
      <c r="AB34" s="1487">
        <f t="shared" si="4"/>
        <v>1</v>
      </c>
      <c r="AC34" s="1487">
        <f t="shared" si="5"/>
        <v>1</v>
      </c>
    </row>
    <row r="35" spans="1:29" ht="16" x14ac:dyDescent="0.2">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669"/>
      <c r="Q35" s="1486" t="str">
        <f t="shared" si="11"/>
        <v>公共部分装修</v>
      </c>
      <c r="R35" s="713" t="s">
        <v>17</v>
      </c>
      <c r="S35" s="714">
        <f t="shared" si="12"/>
        <v>100</v>
      </c>
      <c r="T35" s="713" t="s">
        <v>17</v>
      </c>
      <c r="U35" s="714">
        <f t="shared" si="13"/>
        <v>100</v>
      </c>
      <c r="V35" s="713" t="s">
        <v>17</v>
      </c>
      <c r="W35" s="714">
        <f t="shared" si="14"/>
        <v>100</v>
      </c>
      <c r="X35" s="1489"/>
      <c r="Y35" s="3671"/>
      <c r="Z35" s="1490" t="str">
        <f t="shared" si="15"/>
        <v>公共部分装修</v>
      </c>
      <c r="AA35" s="1487">
        <f t="shared" si="3"/>
        <v>1</v>
      </c>
      <c r="AB35" s="1487">
        <f t="shared" si="4"/>
        <v>1</v>
      </c>
      <c r="AC35" s="1487">
        <f t="shared" si="5"/>
        <v>1</v>
      </c>
    </row>
    <row r="36" spans="1:29" ht="16" x14ac:dyDescent="0.2">
      <c r="A36" s="431"/>
      <c r="B36" s="381" t="s">
        <v>2242</v>
      </c>
      <c r="C36" s="433">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c r="L36" s="2900"/>
      <c r="M36" s="2894"/>
      <c r="N36" s="2894"/>
      <c r="O36" s="2894"/>
      <c r="P36" s="3669"/>
      <c r="Q36" s="1486" t="str">
        <f t="shared" si="11"/>
        <v>成新度</v>
      </c>
      <c r="R36" s="713" t="s">
        <v>17</v>
      </c>
      <c r="S36" s="714">
        <f t="shared" si="12"/>
        <v>100</v>
      </c>
      <c r="T36" s="713" t="s">
        <v>17</v>
      </c>
      <c r="U36" s="714">
        <f t="shared" si="13"/>
        <v>100</v>
      </c>
      <c r="V36" s="713" t="s">
        <v>17</v>
      </c>
      <c r="W36" s="714">
        <f t="shared" si="14"/>
        <v>100</v>
      </c>
      <c r="X36" s="1489"/>
      <c r="Y36" s="3671"/>
      <c r="Z36" s="1490" t="str">
        <f t="shared" si="15"/>
        <v>成新度</v>
      </c>
      <c r="AA36" s="1487">
        <f t="shared" si="3"/>
        <v>1</v>
      </c>
      <c r="AB36" s="1487">
        <f t="shared" si="4"/>
        <v>1</v>
      </c>
      <c r="AC36" s="1487">
        <f t="shared" si="5"/>
        <v>1</v>
      </c>
    </row>
    <row r="37" spans="1:29" s="113" customFormat="1" ht="16" x14ac:dyDescent="0.2">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669"/>
      <c r="Q37" s="1477" t="str">
        <f t="shared" si="11"/>
        <v>市政基础设施</v>
      </c>
      <c r="R37" s="709" t="s">
        <v>17</v>
      </c>
      <c r="S37" s="710">
        <f t="shared" si="12"/>
        <v>100</v>
      </c>
      <c r="T37" s="709" t="s">
        <v>17</v>
      </c>
      <c r="U37" s="710">
        <f t="shared" si="13"/>
        <v>100</v>
      </c>
      <c r="V37" s="709" t="s">
        <v>17</v>
      </c>
      <c r="W37" s="710">
        <f t="shared" si="14"/>
        <v>100</v>
      </c>
      <c r="X37" s="711"/>
      <c r="Y37" s="3671"/>
      <c r="Z37" s="55" t="str">
        <f t="shared" si="15"/>
        <v>市政基础设施</v>
      </c>
      <c r="AA37" s="712">
        <f t="shared" si="3"/>
        <v>1</v>
      </c>
      <c r="AB37" s="712">
        <f t="shared" si="4"/>
        <v>1</v>
      </c>
      <c r="AC37" s="712">
        <f t="shared" si="5"/>
        <v>1</v>
      </c>
    </row>
    <row r="38" spans="1:29" ht="16" x14ac:dyDescent="0.2">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669" t="s">
        <v>2145</v>
      </c>
      <c r="Q38" s="1486" t="str">
        <f t="shared" si="11"/>
        <v>业态</v>
      </c>
      <c r="R38" s="713" t="s">
        <v>17</v>
      </c>
      <c r="S38" s="714">
        <f t="shared" si="12"/>
        <v>100</v>
      </c>
      <c r="T38" s="713" t="s">
        <v>17</v>
      </c>
      <c r="U38" s="714">
        <f t="shared" si="13"/>
        <v>100</v>
      </c>
      <c r="V38" s="713" t="s">
        <v>17</v>
      </c>
      <c r="W38" s="714">
        <f t="shared" si="14"/>
        <v>100</v>
      </c>
      <c r="X38" s="1489"/>
      <c r="Y38" s="3671" t="s">
        <v>2145</v>
      </c>
      <c r="Z38" s="1490" t="str">
        <f t="shared" si="15"/>
        <v>业态</v>
      </c>
      <c r="AA38" s="1487">
        <f t="shared" si="3"/>
        <v>1</v>
      </c>
      <c r="AB38" s="1487">
        <f t="shared" si="4"/>
        <v>1</v>
      </c>
      <c r="AC38" s="1487">
        <f t="shared" si="5"/>
        <v>1</v>
      </c>
    </row>
    <row r="39" spans="1:29" ht="16" x14ac:dyDescent="0.2">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669"/>
      <c r="Q39" s="1486" t="str">
        <f t="shared" si="11"/>
        <v>层高</v>
      </c>
      <c r="R39" s="713" t="s">
        <v>17</v>
      </c>
      <c r="S39" s="714">
        <f t="shared" si="12"/>
        <v>100</v>
      </c>
      <c r="T39" s="713" t="s">
        <v>17</v>
      </c>
      <c r="U39" s="714">
        <f t="shared" si="13"/>
        <v>100</v>
      </c>
      <c r="V39" s="713" t="s">
        <v>17</v>
      </c>
      <c r="W39" s="714">
        <f t="shared" si="14"/>
        <v>100</v>
      </c>
      <c r="X39" s="1489"/>
      <c r="Y39" s="3671"/>
      <c r="Z39" s="1490" t="str">
        <f t="shared" si="15"/>
        <v>层高</v>
      </c>
      <c r="AA39" s="1487">
        <f t="shared" si="3"/>
        <v>1</v>
      </c>
      <c r="AB39" s="1487">
        <f t="shared" si="4"/>
        <v>1</v>
      </c>
      <c r="AC39" s="1487">
        <f t="shared" si="5"/>
        <v>1</v>
      </c>
    </row>
    <row r="40" spans="1:29" ht="16" hidden="1" x14ac:dyDescent="0.2">
      <c r="A40" s="431"/>
      <c r="B40" s="381" t="s">
        <v>2246</v>
      </c>
      <c r="C40" s="3826">
        <f>'数据-汇总表'!E19</f>
        <v>58.81</v>
      </c>
      <c r="D40" s="394">
        <v>100</v>
      </c>
      <c r="E40" s="574">
        <v>90</v>
      </c>
      <c r="F40" s="420">
        <f>SUMIF(118:118,E40,119:119)-SUMIF(118:118,C40,119:119)+100</f>
        <v>100</v>
      </c>
      <c r="G40" s="574">
        <v>246</v>
      </c>
      <c r="H40" s="394">
        <f>SUMIF(118:118,G40,119:119)-SUMIF(118:118,C40,119:119)+100</f>
        <v>100</v>
      </c>
      <c r="I40" s="574">
        <v>80</v>
      </c>
      <c r="J40" s="394">
        <f>SUMIF(118:118,I40,119:119)-SUMIF(118:118,C40,119:119)+100</f>
        <v>100</v>
      </c>
      <c r="K40" s="570"/>
      <c r="L40" s="2900"/>
      <c r="M40" s="2894"/>
      <c r="N40" s="2894"/>
      <c r="O40" s="2894"/>
      <c r="P40" s="3669"/>
      <c r="Q40" s="1486" t="str">
        <f t="shared" si="11"/>
        <v>单套建筑面积</v>
      </c>
      <c r="R40" s="713" t="s">
        <v>17</v>
      </c>
      <c r="S40" s="714">
        <f t="shared" si="12"/>
        <v>100</v>
      </c>
      <c r="T40" s="713" t="s">
        <v>17</v>
      </c>
      <c r="U40" s="714">
        <f t="shared" si="13"/>
        <v>100</v>
      </c>
      <c r="V40" s="713" t="s">
        <v>17</v>
      </c>
      <c r="W40" s="714">
        <f t="shared" si="14"/>
        <v>100</v>
      </c>
      <c r="X40" s="1489"/>
      <c r="Y40" s="3671"/>
      <c r="Z40" s="1490" t="str">
        <f t="shared" si="15"/>
        <v>单套建筑面积</v>
      </c>
      <c r="AA40" s="1487">
        <f t="shared" si="3"/>
        <v>1</v>
      </c>
      <c r="AB40" s="1487">
        <f t="shared" si="4"/>
        <v>1</v>
      </c>
      <c r="AC40" s="1487">
        <f t="shared" si="5"/>
        <v>1</v>
      </c>
    </row>
    <row r="41" spans="1:29" s="430" customFormat="1" ht="16" x14ac:dyDescent="0.2">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669"/>
      <c r="Q41" s="715" t="str">
        <f t="shared" si="11"/>
        <v>进深比</v>
      </c>
      <c r="R41" s="716" t="s">
        <v>17</v>
      </c>
      <c r="S41" s="717">
        <f t="shared" si="12"/>
        <v>100</v>
      </c>
      <c r="T41" s="716" t="s">
        <v>17</v>
      </c>
      <c r="U41" s="717">
        <f t="shared" si="13"/>
        <v>100</v>
      </c>
      <c r="V41" s="716" t="s">
        <v>17</v>
      </c>
      <c r="W41" s="717">
        <f t="shared" si="14"/>
        <v>100</v>
      </c>
      <c r="X41" s="718"/>
      <c r="Y41" s="3671"/>
      <c r="Z41" s="719" t="str">
        <f t="shared" si="15"/>
        <v>进深比</v>
      </c>
      <c r="AA41" s="1487">
        <f t="shared" si="3"/>
        <v>1</v>
      </c>
      <c r="AB41" s="1487">
        <f t="shared" si="4"/>
        <v>1</v>
      </c>
      <c r="AC41" s="1487">
        <f t="shared" si="5"/>
        <v>1</v>
      </c>
    </row>
    <row r="42" spans="1:29" ht="16" x14ac:dyDescent="0.2">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669"/>
      <c r="Q42" s="1486" t="str">
        <f t="shared" si="11"/>
        <v>内部装修</v>
      </c>
      <c r="R42" s="713" t="s">
        <v>17</v>
      </c>
      <c r="S42" s="714">
        <f t="shared" si="12"/>
        <v>100</v>
      </c>
      <c r="T42" s="713" t="s">
        <v>17</v>
      </c>
      <c r="U42" s="714">
        <f t="shared" si="13"/>
        <v>100</v>
      </c>
      <c r="V42" s="713" t="s">
        <v>17</v>
      </c>
      <c r="W42" s="714">
        <f t="shared" si="14"/>
        <v>100</v>
      </c>
      <c r="X42" s="1489"/>
      <c r="Y42" s="3671"/>
      <c r="Z42" s="1490" t="str">
        <f t="shared" si="15"/>
        <v>内部装修</v>
      </c>
      <c r="AA42" s="1487">
        <f t="shared" si="3"/>
        <v>1</v>
      </c>
      <c r="AB42" s="1487">
        <f t="shared" si="4"/>
        <v>1</v>
      </c>
      <c r="AC42" s="1487">
        <f t="shared" si="5"/>
        <v>1</v>
      </c>
    </row>
    <row r="43" spans="1:29" ht="16" x14ac:dyDescent="0.2">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669"/>
      <c r="Q43" s="1486" t="str">
        <f t="shared" si="11"/>
        <v>内部装修维护情况</v>
      </c>
      <c r="R43" s="713" t="s">
        <v>17</v>
      </c>
      <c r="S43" s="714">
        <f t="shared" si="12"/>
        <v>100</v>
      </c>
      <c r="T43" s="713" t="s">
        <v>17</v>
      </c>
      <c r="U43" s="714">
        <f t="shared" si="13"/>
        <v>100</v>
      </c>
      <c r="V43" s="713" t="s">
        <v>17</v>
      </c>
      <c r="W43" s="714">
        <f t="shared" si="14"/>
        <v>100</v>
      </c>
      <c r="X43" s="1489"/>
      <c r="Y43" s="3671"/>
      <c r="Z43" s="1490" t="str">
        <f t="shared" si="15"/>
        <v>内部装修维护情况</v>
      </c>
      <c r="AA43" s="1487">
        <f t="shared" si="3"/>
        <v>1</v>
      </c>
      <c r="AB43" s="1487">
        <f t="shared" si="4"/>
        <v>1</v>
      </c>
      <c r="AC43" s="1487">
        <f t="shared" si="5"/>
        <v>1</v>
      </c>
    </row>
    <row r="44" spans="1:29" s="113" customFormat="1" ht="16" x14ac:dyDescent="0.2">
      <c r="A44" s="432"/>
      <c r="B44" s="1247" t="s">
        <v>4803</v>
      </c>
      <c r="C44" s="428">
        <v>58.81</v>
      </c>
      <c r="D44" s="132">
        <v>100</v>
      </c>
      <c r="E44" s="393">
        <v>90</v>
      </c>
      <c r="F44" s="384">
        <f>SUMIF(126:126,E44,127:127)-SUMIF(126:126,C44,127:127)+100</f>
        <v>100</v>
      </c>
      <c r="G44" s="393">
        <v>246</v>
      </c>
      <c r="H44" s="132">
        <f>SUMIF(126:126,G44,127:127)-SUMIF(126:126,C44,127:127)+100</f>
        <v>100</v>
      </c>
      <c r="I44" s="393">
        <v>80</v>
      </c>
      <c r="J44" s="132">
        <f>SUMIF(126:126,I44,127:127)-SUMIF(126:126,C44,127:127)+100</f>
        <v>100</v>
      </c>
      <c r="K44" s="570"/>
      <c r="L44" s="2895"/>
      <c r="M44" s="2896"/>
      <c r="N44" s="2896"/>
      <c r="O44" s="2896"/>
      <c r="P44" s="3669"/>
      <c r="Q44" s="1477" t="str">
        <f t="shared" si="11"/>
        <v>建筑面积</v>
      </c>
      <c r="R44" s="709" t="s">
        <v>17</v>
      </c>
      <c r="S44" s="710">
        <f t="shared" si="12"/>
        <v>100</v>
      </c>
      <c r="T44" s="709" t="s">
        <v>17</v>
      </c>
      <c r="U44" s="710">
        <f t="shared" si="13"/>
        <v>100</v>
      </c>
      <c r="V44" s="709" t="s">
        <v>17</v>
      </c>
      <c r="W44" s="710">
        <f t="shared" si="14"/>
        <v>100</v>
      </c>
      <c r="X44" s="711"/>
      <c r="Y44" s="3671"/>
      <c r="Z44" s="55" t="str">
        <f t="shared" si="15"/>
        <v>建筑面积</v>
      </c>
      <c r="AA44" s="712">
        <f t="shared" si="3"/>
        <v>1</v>
      </c>
      <c r="AB44" s="712">
        <f t="shared" si="4"/>
        <v>1</v>
      </c>
      <c r="AC44" s="712">
        <f t="shared" si="5"/>
        <v>1</v>
      </c>
    </row>
    <row r="45" spans="1:29" ht="16" x14ac:dyDescent="0.2">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669"/>
      <c r="Q45" s="1486">
        <f t="shared" si="11"/>
        <v>111</v>
      </c>
      <c r="R45" s="713" t="s">
        <v>17</v>
      </c>
      <c r="S45" s="714">
        <f t="shared" si="12"/>
        <v>100</v>
      </c>
      <c r="T45" s="713" t="s">
        <v>17</v>
      </c>
      <c r="U45" s="714">
        <f t="shared" si="13"/>
        <v>100</v>
      </c>
      <c r="V45" s="713" t="s">
        <v>17</v>
      </c>
      <c r="W45" s="714">
        <f t="shared" si="14"/>
        <v>100</v>
      </c>
      <c r="X45" s="1489"/>
      <c r="Y45" s="3671"/>
      <c r="Z45" s="1490">
        <f t="shared" si="15"/>
        <v>111</v>
      </c>
      <c r="AA45" s="1487">
        <f t="shared" si="3"/>
        <v>1</v>
      </c>
      <c r="AB45" s="1487">
        <f t="shared" si="4"/>
        <v>1</v>
      </c>
      <c r="AC45" s="1487">
        <f t="shared" si="5"/>
        <v>1</v>
      </c>
    </row>
    <row r="46" spans="1:29" ht="17" thickBot="1" x14ac:dyDescent="0.25">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670"/>
      <c r="Q46" s="1486">
        <f t="shared" si="11"/>
        <v>111</v>
      </c>
      <c r="R46" s="713" t="s">
        <v>17</v>
      </c>
      <c r="S46" s="714">
        <f t="shared" si="12"/>
        <v>100</v>
      </c>
      <c r="T46" s="713" t="s">
        <v>17</v>
      </c>
      <c r="U46" s="714">
        <f t="shared" si="13"/>
        <v>100</v>
      </c>
      <c r="V46" s="713" t="s">
        <v>17</v>
      </c>
      <c r="W46" s="714">
        <f t="shared" si="14"/>
        <v>100</v>
      </c>
      <c r="X46" s="1489"/>
      <c r="Y46" s="3672"/>
      <c r="Z46" s="1490">
        <f t="shared" si="15"/>
        <v>111</v>
      </c>
      <c r="AA46" s="1487">
        <f t="shared" si="3"/>
        <v>1</v>
      </c>
      <c r="AB46" s="1487">
        <f t="shared" si="4"/>
        <v>1</v>
      </c>
      <c r="AC46" s="1487">
        <f t="shared" si="5"/>
        <v>1</v>
      </c>
    </row>
    <row r="47" spans="1:29" x14ac:dyDescent="0.2">
      <c r="A47" s="438" t="s">
        <v>2157</v>
      </c>
      <c r="B47" s="439"/>
      <c r="C47" s="1268" t="s">
        <v>1</v>
      </c>
      <c r="D47" s="1269"/>
      <c r="E47" s="1270">
        <f>租约整理!K74</f>
        <v>11.11</v>
      </c>
      <c r="F47" s="1271"/>
      <c r="G47" s="1272">
        <f>租约整理!K75</f>
        <v>11.25</v>
      </c>
      <c r="H47" s="1273"/>
      <c r="I47" s="1270">
        <f>租约整理!K76</f>
        <v>11.67</v>
      </c>
      <c r="J47" s="1273"/>
      <c r="K47" s="722"/>
      <c r="L47" s="2902"/>
      <c r="M47" s="2903"/>
      <c r="N47" s="2894"/>
      <c r="O47" s="2903"/>
      <c r="P47" s="3664" t="str">
        <f>A47</f>
        <v>成交单价（元/平方米）</v>
      </c>
      <c r="Q47" s="3664"/>
      <c r="R47" s="3695">
        <f>E47</f>
        <v>11.11</v>
      </c>
      <c r="S47" s="3695"/>
      <c r="T47" s="3695">
        <f>G47</f>
        <v>11.25</v>
      </c>
      <c r="U47" s="3695"/>
      <c r="V47" s="3695">
        <f>I47</f>
        <v>11.67</v>
      </c>
      <c r="W47" s="3695"/>
      <c r="X47" s="698"/>
      <c r="Y47" s="720"/>
      <c r="Z47" s="698"/>
      <c r="AA47" s="698"/>
      <c r="AB47" s="698"/>
      <c r="AC47" s="698"/>
    </row>
    <row r="48" spans="1:29" ht="15" thickBot="1" x14ac:dyDescent="0.25">
      <c r="A48" s="445" t="s">
        <v>2249</v>
      </c>
      <c r="B48" s="446"/>
      <c r="C48" s="1274">
        <f>R49</f>
        <v>11.4</v>
      </c>
      <c r="D48" s="2488" t="s">
        <v>2639</v>
      </c>
      <c r="E48" s="1275">
        <f>R48</f>
        <v>11.1</v>
      </c>
      <c r="F48" s="2489"/>
      <c r="G48" s="1274">
        <f>T48</f>
        <v>11.3</v>
      </c>
      <c r="H48" s="2489"/>
      <c r="I48" s="1275">
        <f>V48</f>
        <v>11.7</v>
      </c>
      <c r="J48" s="2489"/>
      <c r="K48" s="2491">
        <f>F48+H48+J48</f>
        <v>0</v>
      </c>
      <c r="L48" s="2902"/>
      <c r="M48" s="2903"/>
      <c r="N48" s="2894"/>
      <c r="O48" s="2903"/>
      <c r="P48" s="3664" t="str">
        <f>A48</f>
        <v>比较价值（元/平方米）</v>
      </c>
      <c r="Q48" s="3664"/>
      <c r="R48" s="3665">
        <f>IF(F1="售价",ROUND(PRODUCT(R47,AA7:AA46),0),ROUND(PRODUCT(R47,AA7:AA46),1))</f>
        <v>11.1</v>
      </c>
      <c r="S48" s="3665"/>
      <c r="T48" s="3665">
        <f>IF(F1="售价",ROUND(PRODUCT(T47,AB7:AB46),0),ROUND(PRODUCT(T47,AB7:AB46),1))</f>
        <v>11.3</v>
      </c>
      <c r="U48" s="3665"/>
      <c r="V48" s="3665">
        <f>IF(F1="售价",ROUND(PRODUCT(V47,AC7:AC46),0),ROUND(PRODUCT(V47,AC7:AC46),1))</f>
        <v>11.7</v>
      </c>
      <c r="W48" s="3665"/>
      <c r="X48" s="698"/>
      <c r="Y48" s="698"/>
      <c r="Z48" s="698"/>
      <c r="AA48" s="698"/>
      <c r="AB48" s="698"/>
      <c r="AC48" s="698"/>
    </row>
    <row r="49" spans="1:29" ht="15" thickBot="1" x14ac:dyDescent="0.25">
      <c r="A49" s="449" t="s">
        <v>2250</v>
      </c>
      <c r="B49" s="450"/>
      <c r="C49" s="1277">
        <f>R49</f>
        <v>11.4</v>
      </c>
      <c r="D49" s="1277"/>
      <c r="E49" s="1277"/>
      <c r="F49" s="1277"/>
      <c r="G49" s="1277"/>
      <c r="H49" s="1277"/>
      <c r="I49" s="1277"/>
      <c r="J49" s="1277"/>
      <c r="K49" s="723"/>
      <c r="L49" s="2902"/>
      <c r="M49" s="2903"/>
      <c r="N49" s="2894"/>
      <c r="O49" s="2903"/>
      <c r="P49" s="3661" t="str">
        <f>A49</f>
        <v>估价对象XX用房的比较价值（楼面单价，元/平方米）</v>
      </c>
      <c r="Q49" s="3662"/>
      <c r="R49" s="3663">
        <f>IF(F1="售价",ROUND(IF(D48="简单平均",AVERAGE(R48:V48),R48*F48+T48*H48+V48*J48),0),ROUND(IF(D48="简单平均",AVERAGE(R48:V48),R48*F48+T48*H48+V48*J48),1))</f>
        <v>11.4</v>
      </c>
      <c r="S49" s="3663"/>
      <c r="T49" s="3663"/>
      <c r="U49" s="3663"/>
      <c r="V49" s="3663"/>
      <c r="W49" s="3663"/>
      <c r="X49" s="698"/>
      <c r="Y49" s="698"/>
      <c r="Z49" s="698"/>
      <c r="AA49" s="698"/>
      <c r="AB49" s="698"/>
      <c r="AC49" s="698"/>
    </row>
    <row r="50" spans="1:29" x14ac:dyDescent="0.2">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x14ac:dyDescent="0.2">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x14ac:dyDescent="0.2">
      <c r="A52" s="2903"/>
      <c r="B52" s="2903"/>
      <c r="C52" s="454" t="s">
        <v>2251</v>
      </c>
      <c r="D52" s="455"/>
      <c r="E52" s="456">
        <f>IF(E47&lt;E48,E48/E47-1,E47/E48-1)</f>
        <v>9.009009009008917E-4</v>
      </c>
      <c r="F52" s="457" t="str">
        <f>IF(OR(E52&gt;=0.3,E52&lt;=-0.3),"超过30%","")</f>
        <v/>
      </c>
      <c r="G52" s="456">
        <f>IF(G47&lt;G48,G48/G47-1,G47/G48-1)</f>
        <v>4.4444444444444731E-3</v>
      </c>
      <c r="H52" s="457" t="str">
        <f>IF(OR(G52&gt;=0.3,G52&lt;=-0.3),"超过30%","")</f>
        <v/>
      </c>
      <c r="I52" s="456">
        <f>IF(I47&lt;I48,I48/I47-1,I47/I48-1)</f>
        <v>2.5706940874035134E-3</v>
      </c>
      <c r="J52" s="457" t="str">
        <f>IF(OR(I52&gt;=0.3,I52&lt;=-0.3),"超过30%","")</f>
        <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x14ac:dyDescent="0.2">
      <c r="A53" s="2903"/>
      <c r="B53" s="2903"/>
      <c r="C53" s="454" t="s">
        <v>2252</v>
      </c>
      <c r="D53" s="458"/>
      <c r="E53" s="456">
        <f>IF(E48&lt;G48,G48/E48-1,E48/G48-1)</f>
        <v>1.8018018018018056E-2</v>
      </c>
      <c r="F53" s="457" t="str">
        <f>IF(OR(E53&gt;=0.2,E53&lt;=-0.2),"超过20%","")</f>
        <v/>
      </c>
      <c r="G53" s="456">
        <f>IF(G48&lt;I48,I48/G48-1,G48/I48-1)</f>
        <v>3.5398230088495408E-2</v>
      </c>
      <c r="H53" s="457" t="str">
        <f>IF(OR(G53&gt;=0.2,G53&lt;=-0.2),"超过20%","")</f>
        <v/>
      </c>
      <c r="I53" s="456">
        <f>IF(I48&lt;E48,E48/I48-1,I48/E48-1)</f>
        <v>5.4054054054053946E-2</v>
      </c>
      <c r="J53" s="457" t="str">
        <f>IF(OR(I53&gt;=0.2,I53&lt;=-0.2),"超过20%","")</f>
        <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x14ac:dyDescent="0.2">
      <c r="A54" s="2906"/>
      <c r="B54" s="2906"/>
      <c r="C54" s="454" t="s">
        <v>2253</v>
      </c>
      <c r="D54" s="458"/>
      <c r="E54" s="456">
        <f>IF(E47&lt;G47,G47/E47-1,E47/G47-1)</f>
        <v>1.2601260126012592E-2</v>
      </c>
      <c r="F54" s="457" t="str">
        <f>IF(OR(E54&gt;=0.3,E54&lt;=-0.3),"超过30%","")</f>
        <v/>
      </c>
      <c r="G54" s="456">
        <f>IF(G47&lt;I47,I47/G47-1,G47/I47-1)</f>
        <v>3.7333333333333218E-2</v>
      </c>
      <c r="H54" s="457" t="str">
        <f>IF(OR(G54&gt;=0.3,G54&lt;=-0.3),"超过30%","")</f>
        <v/>
      </c>
      <c r="I54" s="456">
        <f>IF(I47&lt;E47,E47/I47-1,I47/E47-1)</f>
        <v>5.0405040504050369E-2</v>
      </c>
      <c r="J54" s="457" t="str">
        <f>IF(OR(I54&gt;=0.3,I54&lt;=-0.3),"超过30%","")</f>
        <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x14ac:dyDescent="0.2">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x14ac:dyDescent="0.2">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 thickBot="1" x14ac:dyDescent="0.25">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5" customFormat="1" x14ac:dyDescent="0.2">
      <c r="A58" s="462" t="s">
        <v>2128</v>
      </c>
      <c r="B58" s="463"/>
      <c r="C58" s="1298" t="str">
        <f>YEAR(C7)&amp;"-"&amp;MONTH(C7)</f>
        <v>2022-11</v>
      </c>
      <c r="D58" s="1299">
        <f>EDATE(C58,-1)</f>
        <v>44835</v>
      </c>
      <c r="E58" s="1299">
        <f t="shared" ref="E58:N58" si="16">EDATE(D58,-1)</f>
        <v>44805</v>
      </c>
      <c r="F58" s="1299">
        <f t="shared" si="16"/>
        <v>44774</v>
      </c>
      <c r="G58" s="1299">
        <f t="shared" si="16"/>
        <v>44743</v>
      </c>
      <c r="H58" s="1299">
        <f t="shared" si="16"/>
        <v>44713</v>
      </c>
      <c r="I58" s="1299">
        <f t="shared" si="16"/>
        <v>44682</v>
      </c>
      <c r="J58" s="1299">
        <f t="shared" si="16"/>
        <v>44652</v>
      </c>
      <c r="K58" s="1299">
        <f t="shared" si="16"/>
        <v>44621</v>
      </c>
      <c r="L58" s="1299">
        <f t="shared" si="16"/>
        <v>44593</v>
      </c>
      <c r="M58" s="1299">
        <f t="shared" si="16"/>
        <v>44562</v>
      </c>
      <c r="N58" s="1299">
        <f t="shared" si="16"/>
        <v>44531</v>
      </c>
      <c r="O58" s="1299">
        <f>EDATE(N58,-1)</f>
        <v>44501</v>
      </c>
      <c r="P58" s="2918"/>
      <c r="Q58" s="2919"/>
      <c r="R58" s="2919"/>
      <c r="S58" s="2919"/>
      <c r="T58" s="2919"/>
      <c r="U58" s="2919"/>
      <c r="V58" s="2919"/>
      <c r="W58" s="2919"/>
      <c r="X58" s="2919"/>
      <c r="Y58" s="2919"/>
      <c r="Z58" s="2919"/>
      <c r="AA58" s="2919"/>
      <c r="AB58" s="2919"/>
      <c r="AC58" s="2919"/>
    </row>
    <row r="59" spans="1:29" s="113" customFormat="1" x14ac:dyDescent="0.2">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 thickBot="1" x14ac:dyDescent="0.25">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x14ac:dyDescent="0.2">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 thickBot="1" x14ac:dyDescent="0.25">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x14ac:dyDescent="0.2">
      <c r="A63" s="484" t="s">
        <v>2168</v>
      </c>
      <c r="B63" s="485" t="s">
        <v>2134</v>
      </c>
      <c r="C63" s="486" t="str">
        <f>C9</f>
        <v>商业</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 thickBot="1" x14ac:dyDescent="0.25">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9" thickTop="1" x14ac:dyDescent="0.2">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 thickBot="1" x14ac:dyDescent="0.25">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 thickTop="1" x14ac:dyDescent="0.2">
      <c r="A67" s="491"/>
      <c r="B67" s="503" t="s">
        <v>2138</v>
      </c>
      <c r="C67" s="504" t="str">
        <f>C68&amp;"（含）"&amp;"-"&amp;D68</f>
        <v>1（含）-2</v>
      </c>
      <c r="D67" s="504" t="str">
        <f t="shared" ref="D67:L67" si="17">D68&amp;"（含）"&amp;"-"&amp;E68</f>
        <v>2（含）-3</v>
      </c>
      <c r="E67" s="504" t="str">
        <f t="shared" si="17"/>
        <v>3（含）-4</v>
      </c>
      <c r="F67" s="504" t="str">
        <f t="shared" si="17"/>
        <v>4（含）-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x14ac:dyDescent="0.2">
      <c r="A68" s="491"/>
      <c r="B68" s="505"/>
      <c r="C68" s="506">
        <v>1</v>
      </c>
      <c r="D68" s="506">
        <v>2</v>
      </c>
      <c r="E68" s="506">
        <v>3</v>
      </c>
      <c r="F68" s="506">
        <v>4</v>
      </c>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 thickBot="1" x14ac:dyDescent="0.25">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 thickTop="1" x14ac:dyDescent="0.2">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 thickBot="1" x14ac:dyDescent="0.25">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 thickTop="1" x14ac:dyDescent="0.2">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 thickBot="1" x14ac:dyDescent="0.25">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 thickTop="1" x14ac:dyDescent="0.2">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 thickBot="1" x14ac:dyDescent="0.25">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x14ac:dyDescent="0.2">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 thickBot="1" x14ac:dyDescent="0.25">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 thickTop="1" x14ac:dyDescent="0.2">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 thickBot="1" x14ac:dyDescent="0.25">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 thickTop="1" x14ac:dyDescent="0.2">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 thickBot="1" x14ac:dyDescent="0.25">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 thickTop="1" x14ac:dyDescent="0.2">
      <c r="A82" s="491"/>
      <c r="B82" s="503" t="s">
        <v>2235</v>
      </c>
      <c r="C82" s="615" t="s">
        <v>2255</v>
      </c>
      <c r="D82" s="615" t="s">
        <v>2256</v>
      </c>
      <c r="E82" s="615" t="s">
        <v>2257</v>
      </c>
      <c r="F82" s="615" t="s">
        <v>2258</v>
      </c>
      <c r="G82" s="615" t="s">
        <v>2259</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 thickBot="1" x14ac:dyDescent="0.25">
      <c r="A83" s="491"/>
      <c r="B83" s="503"/>
      <c r="C83" s="501">
        <v>100</v>
      </c>
      <c r="D83" s="501">
        <f>C83-$K21</f>
        <v>100</v>
      </c>
      <c r="E83" s="501">
        <f t="shared" ref="E83:G83" si="19">D83-$K21</f>
        <v>100</v>
      </c>
      <c r="F83" s="501">
        <f t="shared" si="19"/>
        <v>100</v>
      </c>
      <c r="G83" s="501">
        <f t="shared" si="19"/>
        <v>100</v>
      </c>
      <c r="H83" s="615"/>
      <c r="I83" s="615"/>
      <c r="J83" s="615"/>
      <c r="K83" s="615"/>
      <c r="L83" s="615"/>
      <c r="M83" s="409"/>
      <c r="N83" s="2932"/>
      <c r="O83" s="2932"/>
      <c r="P83" s="2922"/>
      <c r="Q83" s="2917"/>
      <c r="R83" s="2903"/>
      <c r="S83" s="2903"/>
      <c r="T83" s="2903"/>
      <c r="U83" s="2903"/>
      <c r="V83" s="2903"/>
      <c r="W83" s="2903"/>
      <c r="X83" s="2903"/>
      <c r="Y83" s="2903"/>
      <c r="Z83" s="2903"/>
      <c r="AA83" s="2903"/>
      <c r="AB83" s="2903"/>
      <c r="AC83" s="2903"/>
    </row>
    <row r="84" spans="1:29" ht="15" thickTop="1" x14ac:dyDescent="0.2">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 thickBot="1" x14ac:dyDescent="0.25">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 thickTop="1" x14ac:dyDescent="0.2">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 thickBot="1" x14ac:dyDescent="0.25">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 thickTop="1" x14ac:dyDescent="0.2">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 thickBot="1" x14ac:dyDescent="0.25">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 thickTop="1" x14ac:dyDescent="0.2">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 thickBot="1" x14ac:dyDescent="0.25">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 thickTop="1" x14ac:dyDescent="0.2">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 thickBot="1" x14ac:dyDescent="0.25">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 thickTop="1" x14ac:dyDescent="0.2">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 thickBot="1" x14ac:dyDescent="0.25">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 thickTop="1" x14ac:dyDescent="0.2">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 thickBot="1" x14ac:dyDescent="0.25">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 thickTop="1" x14ac:dyDescent="0.2">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 thickBot="1" x14ac:dyDescent="0.25">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x14ac:dyDescent="0.2">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 thickBot="1" x14ac:dyDescent="0.25">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 thickTop="1" x14ac:dyDescent="0.2">
      <c r="A102" s="491"/>
      <c r="B102" s="495" t="s">
        <v>2193</v>
      </c>
      <c r="C102" s="535" t="str">
        <f>C103&amp;"(含)"&amp;"-"&amp;D103</f>
        <v>1(含)-200</v>
      </c>
      <c r="D102" s="535" t="str">
        <f t="shared" ref="D102:L102" si="23">D103&amp;"(含)"&amp;"-"&amp;E103</f>
        <v>200(含)-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x14ac:dyDescent="0.2">
      <c r="A103" s="550"/>
      <c r="B103" s="551"/>
      <c r="C103" s="552">
        <v>1</v>
      </c>
      <c r="D103" s="552">
        <v>200</v>
      </c>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 thickBot="1" x14ac:dyDescent="0.25">
      <c r="A104" s="510"/>
      <c r="B104" s="500"/>
      <c r="C104" s="517">
        <v>100</v>
      </c>
      <c r="D104" s="493">
        <v>98</v>
      </c>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x14ac:dyDescent="0.2">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 thickBot="1" x14ac:dyDescent="0.25">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x14ac:dyDescent="0.2">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 thickBot="1" x14ac:dyDescent="0.25">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x14ac:dyDescent="0.2">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x14ac:dyDescent="0.2">
      <c r="A110" s="556"/>
      <c r="B110" s="503"/>
      <c r="C110" s="560">
        <v>0.5</v>
      </c>
      <c r="D110" s="560">
        <v>0.6</v>
      </c>
      <c r="E110" s="560">
        <v>0.7</v>
      </c>
      <c r="F110" s="560">
        <v>0.8</v>
      </c>
      <c r="G110" s="560">
        <v>0.9</v>
      </c>
      <c r="H110" s="560">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 thickBot="1" x14ac:dyDescent="0.25">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x14ac:dyDescent="0.2">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 thickBot="1" x14ac:dyDescent="0.25">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x14ac:dyDescent="0.2">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 thickBot="1" x14ac:dyDescent="0.25">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x14ac:dyDescent="0.2">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 thickBot="1" x14ac:dyDescent="0.25">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x14ac:dyDescent="0.2">
      <c r="A118" s="556"/>
      <c r="B118" s="495" t="s">
        <v>2264</v>
      </c>
      <c r="C118" s="582">
        <v>0</v>
      </c>
      <c r="D118" s="582">
        <v>100</v>
      </c>
      <c r="E118" s="582">
        <v>200</v>
      </c>
      <c r="F118" s="582"/>
      <c r="G118" s="582"/>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 thickBot="1" x14ac:dyDescent="0.25">
      <c r="A119" s="491"/>
      <c r="B119" s="500"/>
      <c r="C119" s="517">
        <v>100</v>
      </c>
      <c r="D119" s="493">
        <v>99</v>
      </c>
      <c r="E119" s="493">
        <v>98</v>
      </c>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x14ac:dyDescent="0.2">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 thickBot="1" x14ac:dyDescent="0.25">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x14ac:dyDescent="0.2">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 thickBot="1" x14ac:dyDescent="0.25">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x14ac:dyDescent="0.2">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 thickBot="1" x14ac:dyDescent="0.25">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x14ac:dyDescent="0.2">
      <c r="A126" s="550"/>
      <c r="B126" s="495" t="str">
        <f>B44</f>
        <v>建筑面积</v>
      </c>
      <c r="C126" s="511">
        <v>0</v>
      </c>
      <c r="D126" s="511">
        <v>100</v>
      </c>
      <c r="E126" s="511">
        <v>200</v>
      </c>
      <c r="F126" s="511">
        <v>300</v>
      </c>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 thickBot="1" x14ac:dyDescent="0.25">
      <c r="A127" s="510"/>
      <c r="B127" s="500"/>
      <c r="C127" s="517">
        <v>100</v>
      </c>
      <c r="D127" s="493">
        <v>99</v>
      </c>
      <c r="E127" s="493">
        <v>98</v>
      </c>
      <c r="F127" s="493">
        <v>97</v>
      </c>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x14ac:dyDescent="0.2">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 thickBot="1" x14ac:dyDescent="0.25">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x14ac:dyDescent="0.2">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 thickBot="1" x14ac:dyDescent="0.25">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O3:Q9"/>
  <sheetViews>
    <sheetView topLeftCell="A40" workbookViewId="0">
      <selection activeCell="L69" sqref="L69"/>
    </sheetView>
  </sheetViews>
  <sheetFormatPr baseColWidth="10" defaultRowHeight="15" x14ac:dyDescent="0.2"/>
  <sheetData>
    <row r="3" spans="15:17" x14ac:dyDescent="0.2">
      <c r="O3" t="s">
        <v>4771</v>
      </c>
    </row>
    <row r="6" spans="15:17" x14ac:dyDescent="0.2">
      <c r="Q6">
        <v>8.14</v>
      </c>
    </row>
    <row r="7" spans="15:17" x14ac:dyDescent="0.2">
      <c r="Q7">
        <v>8.15</v>
      </c>
    </row>
    <row r="8" spans="15:17" x14ac:dyDescent="0.2">
      <c r="Q8">
        <v>7.86</v>
      </c>
    </row>
    <row r="9" spans="15:17" x14ac:dyDescent="0.2">
      <c r="Q9">
        <v>7.78</v>
      </c>
    </row>
  </sheetData>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
  <sheetViews>
    <sheetView topLeftCell="R1" workbookViewId="0">
      <selection activeCell="V36" sqref="V36:V37"/>
    </sheetView>
  </sheetViews>
  <sheetFormatPr baseColWidth="10" defaultRowHeight="15" x14ac:dyDescent="0.2"/>
  <sheetData/>
  <phoneticPr fontId="140"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view="pageBreakPreview" topLeftCell="A2" zoomScaleNormal="70" zoomScaleSheetLayoutView="100" workbookViewId="0">
      <selection activeCell="C8" sqref="C8"/>
    </sheetView>
  </sheetViews>
  <sheetFormatPr baseColWidth="10" defaultColWidth="8.33203125" defaultRowHeight="13" x14ac:dyDescent="0.2"/>
  <cols>
    <col min="1" max="1" width="10.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9" s="206" customFormat="1" ht="20" x14ac:dyDescent="0.2">
      <c r="A1" s="202" t="s">
        <v>1906</v>
      </c>
      <c r="B1" s="1604" t="s">
        <v>4711</v>
      </c>
      <c r="C1" s="204"/>
      <c r="D1" s="204"/>
      <c r="E1" s="204"/>
      <c r="F1" s="204"/>
      <c r="G1" s="1240">
        <f>MATCH(B1,'数据-取费表'!A6:A16,0)+5</f>
        <v>6</v>
      </c>
    </row>
    <row r="2" spans="1:9" s="206" customFormat="1" ht="18" customHeight="1" x14ac:dyDescent="0.2">
      <c r="A2" s="207" t="s">
        <v>1907</v>
      </c>
      <c r="B2" s="208">
        <f ca="1">IF(D2="——",C52,C52-E2)</f>
        <v>331</v>
      </c>
      <c r="C2" s="205" t="s">
        <v>1908</v>
      </c>
      <c r="D2" s="1989" t="s">
        <v>70</v>
      </c>
      <c r="E2" s="1283">
        <f ca="1">SUMIF(INDIRECT("'"&amp;G2&amp;"'"&amp;"!A:A"),"承租人权益价值",INDIRECT("'"&amp;G2&amp;"'"&amp;"!c:c"))</f>
        <v>-303</v>
      </c>
      <c r="F2" s="1990" t="s">
        <v>1908</v>
      </c>
      <c r="G2" s="1991" t="s">
        <v>4488</v>
      </c>
    </row>
    <row r="3" spans="1:9" s="206" customFormat="1" ht="18" customHeight="1" thickBot="1" x14ac:dyDescent="0.25">
      <c r="A3" s="209" t="s">
        <v>1909</v>
      </c>
      <c r="B3" s="210">
        <f ca="1">ROUND(B2*10000/(IF(B1="",'数据-汇总表'!E3,INDIRECT("'数据-取费表'!k"&amp;$G$1))),0)</f>
        <v>56283</v>
      </c>
      <c r="C3" s="205" t="s">
        <v>1910</v>
      </c>
      <c r="D3" s="205"/>
      <c r="E3" s="205"/>
      <c r="F3" s="205"/>
      <c r="G3" s="205"/>
    </row>
    <row r="4" spans="1:9" s="214" customFormat="1" ht="16" x14ac:dyDescent="0.2">
      <c r="A4" s="211" t="s">
        <v>1911</v>
      </c>
      <c r="B4" s="212"/>
      <c r="C4" s="212"/>
      <c r="D4" s="212"/>
      <c r="E4" s="212"/>
      <c r="F4" s="212"/>
      <c r="G4" s="213"/>
    </row>
    <row r="5" spans="1:9" s="220" customFormat="1" ht="13.5" customHeight="1" x14ac:dyDescent="0.15">
      <c r="A5" s="261" t="s">
        <v>1912</v>
      </c>
      <c r="B5" s="216" t="s">
        <v>1913</v>
      </c>
      <c r="C5" s="217">
        <f ca="1">C6+C7+C8</f>
        <v>210.94131800000002</v>
      </c>
      <c r="D5" s="217" t="s">
        <v>1914</v>
      </c>
      <c r="E5" s="218" t="s">
        <v>1915</v>
      </c>
      <c r="F5" s="218" t="s">
        <v>1916</v>
      </c>
      <c r="G5" s="219"/>
    </row>
    <row r="6" spans="1:9" s="220" customFormat="1" ht="13.5" customHeight="1" x14ac:dyDescent="0.15">
      <c r="A6" s="866" t="s">
        <v>1917</v>
      </c>
      <c r="B6" s="221" t="s">
        <v>1918</v>
      </c>
      <c r="C6" s="222">
        <f ca="1">[3]基准地价修正!$C$31*D10/10000</f>
        <v>203.94131800000002</v>
      </c>
      <c r="D6" s="223"/>
      <c r="E6" s="224"/>
      <c r="F6" s="224"/>
      <c r="G6" s="225"/>
    </row>
    <row r="7" spans="1:9" s="220" customFormat="1" ht="13.5" customHeight="1" x14ac:dyDescent="0.15">
      <c r="A7" s="866" t="s">
        <v>1919</v>
      </c>
      <c r="B7" s="221" t="s">
        <v>1920</v>
      </c>
      <c r="C7" s="226">
        <f ca="1">ROUND(C6*F7,0)</f>
        <v>6</v>
      </c>
      <c r="D7" s="226"/>
      <c r="E7" s="224"/>
      <c r="F7" s="227">
        <f>IF(项目基本情况!B8="出让",0,'数据-取费表'!B48+'数据-取费表'!B49)</f>
        <v>3.0499999999999999E-2</v>
      </c>
      <c r="G7" s="225"/>
    </row>
    <row r="8" spans="1:9" s="229" customFormat="1" ht="14" x14ac:dyDescent="0.15">
      <c r="A8" s="866" t="s">
        <v>1921</v>
      </c>
      <c r="B8" s="221" t="s">
        <v>1922</v>
      </c>
      <c r="C8" s="226">
        <f ca="1">IF(G8="已包含在土地购买价格中","0",IF(B1="",'数据-取费表'!B29,IF(G9="全部缴纳",C9+C10,H9)))</f>
        <v>1</v>
      </c>
      <c r="D8" s="228"/>
      <c r="E8" s="226"/>
      <c r="F8" s="227"/>
      <c r="G8" s="1992" t="s">
        <v>4714</v>
      </c>
    </row>
    <row r="9" spans="1:9" s="220" customFormat="1" ht="13.5" customHeight="1" x14ac:dyDescent="0.15">
      <c r="A9" s="867" t="s">
        <v>619</v>
      </c>
      <c r="B9" s="230" t="s">
        <v>1923</v>
      </c>
      <c r="C9" s="231">
        <f ca="1">ROUND(D9*E9/10000,0)</f>
        <v>0</v>
      </c>
      <c r="D9" s="934">
        <f ca="1">IF(B1="",'数据-汇总表'!E5,IF(INDIRECT("'数据-取费表'!c"&amp;$G$1)="住宅",INDIRECT("'数据-取费表'!k"&amp;$G$1),0))</f>
        <v>0</v>
      </c>
      <c r="E9" s="231">
        <f>'数据-取费表'!B27</f>
        <v>0</v>
      </c>
      <c r="F9" s="227"/>
      <c r="G9" s="1993" t="s">
        <v>4799</v>
      </c>
      <c r="H9" s="1251"/>
      <c r="I9" s="1994" t="s">
        <v>1924</v>
      </c>
    </row>
    <row r="10" spans="1:9" s="220" customFormat="1" ht="13.5" customHeight="1" x14ac:dyDescent="0.15">
      <c r="A10" s="867" t="s">
        <v>620</v>
      </c>
      <c r="B10" s="230" t="s">
        <v>1925</v>
      </c>
      <c r="C10" s="231">
        <f ca="1">ROUND(D10*E10/10000,0)</f>
        <v>1</v>
      </c>
      <c r="D10" s="934">
        <f ca="1">IF(B1="",'数据-汇总表'!E6,IF(INDIRECT("'数据-取费表'!c"&amp;$G$1)="住宅",INDIRECT("'数据-取费表'!s"&amp;$G$1),INDIRECT("'数据-取费表'!k"&amp;$G$1)+INDIRECT("'数据-取费表'!s"&amp;$G$1)))</f>
        <v>58.81</v>
      </c>
      <c r="E10" s="231">
        <f>'数据-取费表'!B28</f>
        <v>200</v>
      </c>
      <c r="F10" s="227"/>
      <c r="G10" s="232"/>
    </row>
    <row r="11" spans="1:9" s="220" customFormat="1" ht="13.5" hidden="1" customHeight="1" x14ac:dyDescent="0.15">
      <c r="A11" s="233" t="s">
        <v>7</v>
      </c>
      <c r="B11" s="221" t="s">
        <v>1926</v>
      </c>
      <c r="C11" s="217"/>
      <c r="D11" s="936"/>
      <c r="E11" s="224"/>
      <c r="F11" s="224"/>
      <c r="G11" s="225"/>
    </row>
    <row r="12" spans="1:9" s="220" customFormat="1" ht="13.5" hidden="1" customHeight="1" x14ac:dyDescent="0.15">
      <c r="A12" s="233" t="s">
        <v>8</v>
      </c>
      <c r="B12" s="221" t="s">
        <v>1927</v>
      </c>
      <c r="C12" s="217">
        <v>0</v>
      </c>
      <c r="D12" s="936"/>
      <c r="E12" s="234"/>
      <c r="F12" s="227">
        <v>3.0499999999999999E-2</v>
      </c>
      <c r="G12" s="225"/>
    </row>
    <row r="13" spans="1:9" s="220" customFormat="1" ht="13.5" hidden="1" customHeight="1" x14ac:dyDescent="0.15">
      <c r="A13" s="233" t="s">
        <v>9</v>
      </c>
      <c r="B13" s="221" t="s">
        <v>1928</v>
      </c>
      <c r="C13" s="217"/>
      <c r="D13" s="936"/>
      <c r="E13" s="224"/>
      <c r="F13" s="224"/>
      <c r="G13" s="225"/>
    </row>
    <row r="14" spans="1:9" s="220" customFormat="1" ht="13.5" hidden="1" customHeight="1" x14ac:dyDescent="0.15">
      <c r="A14" s="233" t="s">
        <v>10</v>
      </c>
      <c r="B14" s="221" t="s">
        <v>1929</v>
      </c>
      <c r="C14" s="217"/>
      <c r="D14" s="936"/>
      <c r="E14" s="224"/>
      <c r="F14" s="224"/>
      <c r="G14" s="225" t="s">
        <v>1930</v>
      </c>
    </row>
    <row r="15" spans="1:9" s="220" customFormat="1" ht="13.5" hidden="1" customHeight="1" x14ac:dyDescent="0.15">
      <c r="A15" s="233" t="s">
        <v>11</v>
      </c>
      <c r="B15" s="221" t="s">
        <v>1931</v>
      </c>
      <c r="C15" s="226"/>
      <c r="D15" s="936"/>
      <c r="E15" s="224"/>
      <c r="F15" s="224"/>
      <c r="G15" s="225" t="s">
        <v>1932</v>
      </c>
    </row>
    <row r="16" spans="1:9" s="220" customFormat="1" ht="13.5" hidden="1" customHeight="1" x14ac:dyDescent="0.15">
      <c r="A16" s="233" t="s">
        <v>12</v>
      </c>
      <c r="B16" s="221" t="s">
        <v>1929</v>
      </c>
      <c r="C16" s="226"/>
      <c r="D16" s="936"/>
      <c r="E16" s="224"/>
      <c r="F16" s="224"/>
      <c r="G16" s="225"/>
    </row>
    <row r="17" spans="1:7" s="220" customFormat="1" ht="13.5" hidden="1" customHeight="1" x14ac:dyDescent="0.15">
      <c r="A17" s="233" t="s">
        <v>13</v>
      </c>
      <c r="B17" s="221" t="s">
        <v>1933</v>
      </c>
      <c r="C17" s="235"/>
      <c r="D17" s="937"/>
      <c r="E17" s="235"/>
      <c r="F17" s="235"/>
      <c r="G17" s="225" t="s">
        <v>1932</v>
      </c>
    </row>
    <row r="18" spans="1:7" s="220" customFormat="1" ht="13.5" hidden="1" customHeight="1" x14ac:dyDescent="0.15">
      <c r="A18" s="233" t="s">
        <v>14</v>
      </c>
      <c r="B18" s="221" t="s">
        <v>1934</v>
      </c>
      <c r="C18" s="226">
        <v>0</v>
      </c>
      <c r="D18" s="936"/>
      <c r="E18" s="224"/>
      <c r="F18" s="227">
        <v>3.0499999999999999E-2</v>
      </c>
      <c r="G18" s="225" t="s">
        <v>1935</v>
      </c>
    </row>
    <row r="19" spans="1:7" s="229" customFormat="1" ht="13.5" customHeight="1" x14ac:dyDescent="0.15">
      <c r="A19" s="261" t="s">
        <v>1936</v>
      </c>
      <c r="B19" s="216" t="s">
        <v>1937</v>
      </c>
      <c r="C19" s="217" t="str">
        <f>IF(G19="已包含在土地取得成本中","0",ROUND(D19*E19/10000,0))</f>
        <v>0</v>
      </c>
      <c r="D19" s="938">
        <f ca="1">D9+D10</f>
        <v>58.81</v>
      </c>
      <c r="E19" s="217">
        <f>'数据-取费表'!B31</f>
        <v>200</v>
      </c>
      <c r="F19" s="237"/>
      <c r="G19" s="1992" t="s">
        <v>4713</v>
      </c>
    </row>
    <row r="20" spans="1:7" s="220" customFormat="1" ht="13.5" customHeight="1" x14ac:dyDescent="0.15">
      <c r="A20" s="261" t="s">
        <v>1938</v>
      </c>
      <c r="B20" s="216" t="s">
        <v>1939</v>
      </c>
      <c r="C20" s="238">
        <f ca="1">ROUND((C5+C19)*F20,0)</f>
        <v>4</v>
      </c>
      <c r="D20" s="238"/>
      <c r="E20" s="238"/>
      <c r="F20" s="239">
        <f>'数据-取费表'!B37</f>
        <v>0.02</v>
      </c>
      <c r="G20" s="240" t="s">
        <v>1940</v>
      </c>
    </row>
    <row r="21" spans="1:7" s="220" customFormat="1" ht="13.5" customHeight="1" x14ac:dyDescent="0.15">
      <c r="A21" s="261" t="s">
        <v>1941</v>
      </c>
      <c r="B21" s="216" t="s">
        <v>1942</v>
      </c>
      <c r="C21" s="241">
        <f>F21</f>
        <v>0.02</v>
      </c>
      <c r="D21" s="242" t="s">
        <v>1943</v>
      </c>
      <c r="E21" s="238"/>
      <c r="F21" s="239">
        <f>'数据-取费表'!B38</f>
        <v>0.02</v>
      </c>
      <c r="G21" s="240" t="s">
        <v>1944</v>
      </c>
    </row>
    <row r="22" spans="1:7" s="220" customFormat="1" ht="13.5" customHeight="1" x14ac:dyDescent="0.15">
      <c r="A22" s="261" t="s">
        <v>1945</v>
      </c>
      <c r="B22" s="216" t="s">
        <v>1946</v>
      </c>
      <c r="C22" s="1216">
        <f ca="1">ROUND(SUM(C23:C25),0)</f>
        <v>16</v>
      </c>
      <c r="D22" s="241">
        <f ca="1">C26</f>
        <v>6.9999999999999999E-4</v>
      </c>
      <c r="E22" s="242" t="s">
        <v>1943</v>
      </c>
      <c r="F22" s="243">
        <f ca="1">'数据-取费表'!B40</f>
        <v>3.6499999999999998E-2</v>
      </c>
      <c r="G22" s="240" t="str">
        <f>IF('数据-取费表'!B22&lt;=1,"单利计息","复利计息")</f>
        <v>复利计息</v>
      </c>
    </row>
    <row r="23" spans="1:7" s="220" customFormat="1" ht="13.5" customHeight="1" x14ac:dyDescent="0.15">
      <c r="A23" s="868" t="s">
        <v>1947</v>
      </c>
      <c r="B23" s="221" t="s">
        <v>1948</v>
      </c>
      <c r="C23" s="1217">
        <f ca="1">ROUND(IF('数据-取费表'!B22&lt;=1,C5*F22*'数据-取费表'!B23,C5*(POWER((1+F22),'数据-取费表'!B23)-1)),0)</f>
        <v>16</v>
      </c>
      <c r="D23" s="244"/>
      <c r="E23" s="244"/>
      <c r="F23" s="245"/>
      <c r="G23" s="246" t="s">
        <v>1949</v>
      </c>
    </row>
    <row r="24" spans="1:7" s="220" customFormat="1" ht="13.5" customHeight="1" x14ac:dyDescent="0.15">
      <c r="A24" s="868" t="s">
        <v>1950</v>
      </c>
      <c r="B24" s="221" t="s">
        <v>1951</v>
      </c>
      <c r="C24" s="1217">
        <f ca="1">ROUND(IF('数据-取费表'!B22&lt;=1,C19*F22*('数据-取费表'!B19/2+'数据-取费表'!B21),C19*(POWER((1+F22),('数据-取费表'!B19/2+'数据-取费表'!B21))-1)),0)</f>
        <v>0</v>
      </c>
      <c r="D24" s="244"/>
      <c r="E24" s="244"/>
      <c r="F24" s="245"/>
      <c r="G24" s="246" t="s">
        <v>1952</v>
      </c>
    </row>
    <row r="25" spans="1:7" s="220" customFormat="1" ht="28" x14ac:dyDescent="0.15">
      <c r="A25" s="868" t="s">
        <v>1953</v>
      </c>
      <c r="B25" s="221" t="s">
        <v>1954</v>
      </c>
      <c r="C25" s="1217">
        <f ca="1">ROUND(IF('数据-取费表'!B22&lt;=1,C20*F22*'数据-取费表'!B23/2,C20*(POWER((1+F22),'数据-取费表'!B23/2)-1)),0)</f>
        <v>0</v>
      </c>
      <c r="D25" s="244"/>
      <c r="E25" s="247"/>
      <c r="F25" s="245"/>
      <c r="G25" s="248" t="s">
        <v>1955</v>
      </c>
    </row>
    <row r="26" spans="1:7" s="220" customFormat="1" ht="14" x14ac:dyDescent="0.15">
      <c r="A26" s="868" t="s">
        <v>614</v>
      </c>
      <c r="B26" s="221" t="s">
        <v>1956</v>
      </c>
      <c r="C26" s="244">
        <f ca="1">ROUND(IF('数据-取费表'!B22&lt;=1,F21*F22*'数据-取费表'!B23/2,F21*(POWER((1+F22),'数据-取费表'!B23/2)-1)),4)</f>
        <v>6.9999999999999999E-4</v>
      </c>
      <c r="D26" s="244"/>
      <c r="E26" s="247"/>
      <c r="F26" s="245"/>
      <c r="G26" s="249"/>
    </row>
    <row r="27" spans="1:7" s="220" customFormat="1" ht="28" x14ac:dyDescent="0.15">
      <c r="A27" s="261" t="s">
        <v>1957</v>
      </c>
      <c r="B27" s="250" t="s">
        <v>1958</v>
      </c>
      <c r="C27" s="251">
        <f ca="1">C28</f>
        <v>54</v>
      </c>
      <c r="D27" s="241">
        <f ca="1">C29</f>
        <v>5.0000000000000001E-3</v>
      </c>
      <c r="E27" s="242" t="s">
        <v>1959</v>
      </c>
      <c r="F27" s="252">
        <f ca="1">IF(B1="",'数据-取费表'!Q16,INDIRECT("'数据-取费表'!q"&amp;$G$1))</f>
        <v>0.25</v>
      </c>
      <c r="G27" s="253" t="s">
        <v>1960</v>
      </c>
    </row>
    <row r="28" spans="1:7" s="220" customFormat="1" ht="13.5" customHeight="1" x14ac:dyDescent="0.15">
      <c r="A28" s="868" t="s">
        <v>610</v>
      </c>
      <c r="B28" s="254" t="s">
        <v>1961</v>
      </c>
      <c r="C28" s="255">
        <f ca="1">ROUND((C5+C19+C20)*F27*'数据-取费表'!B21/'数据-取费表'!B20,0)</f>
        <v>54</v>
      </c>
      <c r="D28" s="241"/>
      <c r="E28" s="242"/>
      <c r="F28" s="252"/>
      <c r="G28" s="253"/>
    </row>
    <row r="29" spans="1:7" s="220" customFormat="1" ht="13.5" customHeight="1" x14ac:dyDescent="0.15">
      <c r="A29" s="868" t="s">
        <v>611</v>
      </c>
      <c r="B29" s="254" t="s">
        <v>1962</v>
      </c>
      <c r="C29" s="244">
        <f ca="1">ROUND(C21*F27*'数据-取费表'!B21/'数据-取费表'!B20,4)</f>
        <v>5.0000000000000001E-3</v>
      </c>
      <c r="D29" s="241"/>
      <c r="E29" s="242"/>
      <c r="F29" s="252"/>
      <c r="G29" s="253"/>
    </row>
    <row r="30" spans="1:7" s="220" customFormat="1" ht="13.5" customHeight="1" x14ac:dyDescent="0.15">
      <c r="A30" s="261" t="s">
        <v>1963</v>
      </c>
      <c r="B30" s="216" t="s">
        <v>1964</v>
      </c>
      <c r="C30" s="241">
        <f>ROUND(F30/(1+'数据-取费表'!C42),4)</f>
        <v>5.33E-2</v>
      </c>
      <c r="D30" s="242" t="s">
        <v>1959</v>
      </c>
      <c r="E30" s="247"/>
      <c r="F30" s="243">
        <f>'数据-取费表'!B41</f>
        <v>5.6000000000000001E-2</v>
      </c>
      <c r="G30" s="240" t="s">
        <v>1965</v>
      </c>
    </row>
    <row r="31" spans="1:7" ht="16.5" customHeight="1" x14ac:dyDescent="0.2">
      <c r="A31" s="215">
        <v>1</v>
      </c>
      <c r="B31" s="216" t="s">
        <v>1966</v>
      </c>
      <c r="C31" s="217">
        <f ca="1">ROUND((C5+C19+C20+C22+C27)/(1-C21-D22-D27-C30),0)</f>
        <v>309</v>
      </c>
      <c r="D31" s="236"/>
      <c r="E31" s="217"/>
      <c r="F31" s="256"/>
      <c r="G31" s="240" t="s">
        <v>1967</v>
      </c>
    </row>
    <row r="32" spans="1:7" s="214" customFormat="1" ht="16" x14ac:dyDescent="0.2">
      <c r="A32" s="258" t="s">
        <v>1968</v>
      </c>
      <c r="B32" s="259"/>
      <c r="C32" s="259"/>
      <c r="D32" s="259"/>
      <c r="E32" s="259"/>
      <c r="F32" s="259"/>
      <c r="G32" s="260"/>
    </row>
    <row r="33" spans="1:7" s="220" customFormat="1" ht="13.5" customHeight="1" x14ac:dyDescent="0.15">
      <c r="A33" s="261" t="s">
        <v>601</v>
      </c>
      <c r="B33" s="216" t="s">
        <v>1969</v>
      </c>
      <c r="C33" s="262">
        <f ca="1">SUM(C34:C38)</f>
        <v>20</v>
      </c>
      <c r="D33" s="238"/>
      <c r="E33" s="218"/>
      <c r="F33" s="247"/>
      <c r="G33" s="240"/>
    </row>
    <row r="34" spans="1:7" s="264" customFormat="1" ht="13.5" customHeight="1" x14ac:dyDescent="0.15">
      <c r="A34" s="868" t="s">
        <v>610</v>
      </c>
      <c r="B34" s="221" t="s">
        <v>1970</v>
      </c>
      <c r="C34" s="226">
        <f ca="1">IF(B1="",IF(F34=100%,'数据-取费表'!M16,'数据-取费表'!O16),IF(F34=100%,INDIRECT("'数据-取费表'!m"&amp;$G$1)+INDIRECT("'数据-取费表'!t"&amp;$G$1),INDIRECT("'数据-取费表'!o"&amp;$G$1)+INDIRECT("'数据-取费表'!aq"&amp;$G$1)))</f>
        <v>18</v>
      </c>
      <c r="D34" s="223"/>
      <c r="E34" s="226"/>
      <c r="F34" s="263">
        <f ca="1">IF('数据-取费表'!B24=0,1,IF(B1="",'数据-取费表'!N16,INDIRECT("'数据-取费表'!n"&amp;$G$1)))</f>
        <v>1</v>
      </c>
      <c r="G34" s="225" t="s">
        <v>1971</v>
      </c>
    </row>
    <row r="35" spans="1:7" ht="13.5" customHeight="1" x14ac:dyDescent="0.15">
      <c r="A35" s="868" t="s">
        <v>615</v>
      </c>
      <c r="B35" s="221" t="s">
        <v>1972</v>
      </c>
      <c r="C35" s="226">
        <f ca="1">ROUND(C34*F35,0)</f>
        <v>1</v>
      </c>
      <c r="D35" s="226"/>
      <c r="E35" s="226"/>
      <c r="F35" s="265">
        <f>'数据-取费表'!B33</f>
        <v>0.03</v>
      </c>
      <c r="G35" s="225" t="s">
        <v>1973</v>
      </c>
    </row>
    <row r="36" spans="1:7" ht="28" x14ac:dyDescent="0.15">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0.1</v>
      </c>
      <c r="G36" s="266" t="s">
        <v>1975</v>
      </c>
    </row>
    <row r="37" spans="1:7" s="264" customFormat="1" ht="13.5" customHeight="1" x14ac:dyDescent="0.15">
      <c r="A37" s="868" t="s">
        <v>617</v>
      </c>
      <c r="B37" s="221" t="s">
        <v>1976</v>
      </c>
      <c r="C37" s="255">
        <f ca="1">ROUND(E37*D37*F34/10000,0)</f>
        <v>1</v>
      </c>
      <c r="D37" s="223">
        <f ca="1">D19</f>
        <v>58.81</v>
      </c>
      <c r="E37" s="255">
        <f>'数据-取费表'!B35</f>
        <v>200</v>
      </c>
      <c r="F37" s="265"/>
      <c r="G37" s="267" t="s">
        <v>1977</v>
      </c>
    </row>
    <row r="38" spans="1:7" ht="13.5" customHeight="1" x14ac:dyDescent="0.15">
      <c r="A38" s="868" t="s">
        <v>618</v>
      </c>
      <c r="B38" s="221" t="s">
        <v>1978</v>
      </c>
      <c r="C38" s="226">
        <f ca="1">ROUND(C34*F38,0)</f>
        <v>0</v>
      </c>
      <c r="D38" s="226"/>
      <c r="E38" s="226"/>
      <c r="F38" s="265">
        <f>'数据-取费表'!B36</f>
        <v>1.4999999999999999E-2</v>
      </c>
      <c r="G38" s="225" t="s">
        <v>1973</v>
      </c>
    </row>
    <row r="39" spans="1:7" s="220" customFormat="1" ht="13.5" customHeight="1" x14ac:dyDescent="0.15">
      <c r="A39" s="261" t="s">
        <v>1979</v>
      </c>
      <c r="B39" s="216" t="s">
        <v>1980</v>
      </c>
      <c r="C39" s="238">
        <f ca="1">ROUND(C33*F20,0)</f>
        <v>0</v>
      </c>
      <c r="D39" s="238"/>
      <c r="E39" s="238"/>
      <c r="F39" s="2485">
        <f>F20</f>
        <v>0.02</v>
      </c>
      <c r="G39" s="240" t="s">
        <v>1981</v>
      </c>
    </row>
    <row r="40" spans="1:7" s="220" customFormat="1" ht="13.5" customHeight="1" x14ac:dyDescent="0.15">
      <c r="A40" s="261" t="s">
        <v>1982</v>
      </c>
      <c r="B40" s="216" t="s">
        <v>1983</v>
      </c>
      <c r="C40" s="1447">
        <f>F21</f>
        <v>0.02</v>
      </c>
      <c r="D40" s="242" t="s">
        <v>1984</v>
      </c>
      <c r="E40" s="238"/>
      <c r="F40" s="2485">
        <f>F21</f>
        <v>0.02</v>
      </c>
      <c r="G40" s="240" t="s">
        <v>1985</v>
      </c>
    </row>
    <row r="41" spans="1:7" s="220" customFormat="1" ht="13.5" customHeight="1" x14ac:dyDescent="0.15">
      <c r="A41" s="261" t="s">
        <v>1986</v>
      </c>
      <c r="B41" s="216" t="s">
        <v>1987</v>
      </c>
      <c r="C41" s="238">
        <f ca="1">ROUND(SUM(C42:C43),0)</f>
        <v>1</v>
      </c>
      <c r="D41" s="241">
        <f ca="1">C44</f>
        <v>6.9999999999999999E-4</v>
      </c>
      <c r="E41" s="242" t="s">
        <v>1984</v>
      </c>
      <c r="F41" s="2486">
        <f ca="1">F22</f>
        <v>3.6499999999999998E-2</v>
      </c>
      <c r="G41" s="240" t="str">
        <f>IF('数据-取费表'!B22&lt;=1,"单利计息","复利计息")</f>
        <v>复利计息</v>
      </c>
    </row>
    <row r="42" spans="1:7" ht="13.5" customHeight="1" x14ac:dyDescent="0.15">
      <c r="A42" s="868" t="s">
        <v>610</v>
      </c>
      <c r="B42" s="221" t="s">
        <v>1988</v>
      </c>
      <c r="C42" s="244">
        <f ca="1">ROUND(IF('数据-取费表'!B22&lt;=1,C33*F22*'数据-取费表'!B21/2,C33*(POWER((1+F22),'数据-取费表'!B21/2)-1)),0)</f>
        <v>1</v>
      </c>
      <c r="D42" s="244"/>
      <c r="E42" s="244"/>
      <c r="F42" s="245"/>
      <c r="G42" s="3637" t="s">
        <v>1989</v>
      </c>
    </row>
    <row r="43" spans="1:7" ht="13.5" customHeight="1" x14ac:dyDescent="0.15">
      <c r="A43" s="868" t="s">
        <v>611</v>
      </c>
      <c r="B43" s="221" t="s">
        <v>1990</v>
      </c>
      <c r="C43" s="244">
        <f ca="1">ROUND(IF('数据-取费表'!B22&lt;=1,C39*F22*'数据-取费表'!B21/2,C39*(POWER((1+F22),'数据-取费表'!B21/2)-1)),0)</f>
        <v>0</v>
      </c>
      <c r="D43" s="244"/>
      <c r="E43" s="244"/>
      <c r="F43" s="245"/>
      <c r="G43" s="3638"/>
    </row>
    <row r="44" spans="1:7" ht="13.5" customHeight="1" x14ac:dyDescent="0.15">
      <c r="A44" s="868" t="s">
        <v>612</v>
      </c>
      <c r="B44" s="221" t="s">
        <v>1991</v>
      </c>
      <c r="C44" s="244">
        <f ca="1">ROUND(IF('数据-取费表'!B22&lt;=1,C40*F22*'数据-取费表'!B21/2,C40*(POWER((1+F22),'数据-取费表'!B21/2)-1)),4)</f>
        <v>6.9999999999999999E-4</v>
      </c>
      <c r="D44" s="244"/>
      <c r="E44" s="244"/>
      <c r="F44" s="245"/>
      <c r="G44" s="3639"/>
    </row>
    <row r="45" spans="1:7" s="220" customFormat="1" ht="13.5" customHeight="1" x14ac:dyDescent="0.15">
      <c r="A45" s="261" t="s">
        <v>1992</v>
      </c>
      <c r="B45" s="250" t="s">
        <v>1958</v>
      </c>
      <c r="C45" s="251">
        <f ca="1">C46</f>
        <v>5</v>
      </c>
      <c r="D45" s="241">
        <f ca="1">C47</f>
        <v>5.0000000000000001E-3</v>
      </c>
      <c r="E45" s="242" t="s">
        <v>1984</v>
      </c>
      <c r="F45" s="2487">
        <f ca="1">F27</f>
        <v>0.25</v>
      </c>
      <c r="G45" s="253" t="s">
        <v>1993</v>
      </c>
    </row>
    <row r="46" spans="1:7" s="220" customFormat="1" ht="13.5" customHeight="1" x14ac:dyDescent="0.15">
      <c r="A46" s="868" t="s">
        <v>610</v>
      </c>
      <c r="B46" s="254" t="s">
        <v>1994</v>
      </c>
      <c r="C46" s="255">
        <f ca="1">ROUND((C33+C39)*F27,0)</f>
        <v>5</v>
      </c>
      <c r="D46" s="269"/>
      <c r="E46" s="242"/>
      <c r="F46" s="252"/>
      <c r="G46" s="253"/>
    </row>
    <row r="47" spans="1:7" s="220" customFormat="1" ht="13.5" customHeight="1" x14ac:dyDescent="0.15">
      <c r="A47" s="868" t="s">
        <v>611</v>
      </c>
      <c r="B47" s="254" t="s">
        <v>1995</v>
      </c>
      <c r="C47" s="244">
        <f ca="1">ROUND(C40*F27,4)</f>
        <v>5.0000000000000001E-3</v>
      </c>
      <c r="D47" s="269"/>
      <c r="E47" s="242"/>
      <c r="F47" s="252"/>
      <c r="G47" s="253"/>
    </row>
    <row r="48" spans="1:7" s="220" customFormat="1" ht="13.5" customHeight="1" x14ac:dyDescent="0.15">
      <c r="A48" s="261" t="s">
        <v>1957</v>
      </c>
      <c r="B48" s="216" t="s">
        <v>1996</v>
      </c>
      <c r="C48" s="1447">
        <f>ROUND(F30/(1+'数据-取费表'!C42),4)</f>
        <v>5.33E-2</v>
      </c>
      <c r="D48" s="242" t="s">
        <v>1984</v>
      </c>
      <c r="E48" s="238"/>
      <c r="F48" s="2486">
        <f>F30</f>
        <v>5.6000000000000001E-2</v>
      </c>
      <c r="G48" s="240" t="s">
        <v>1997</v>
      </c>
    </row>
    <row r="49" spans="1:7" ht="16.5" customHeight="1" x14ac:dyDescent="0.2">
      <c r="A49" s="261" t="s">
        <v>1963</v>
      </c>
      <c r="B49" s="216" t="s">
        <v>1998</v>
      </c>
      <c r="C49" s="238">
        <f ca="1">ROUND((C33+C39+C41+C45)/(1-C40-D41-D45-C48),0)</f>
        <v>28</v>
      </c>
      <c r="D49" s="238"/>
      <c r="E49" s="238"/>
      <c r="F49" s="270"/>
      <c r="G49" s="240" t="s">
        <v>1999</v>
      </c>
    </row>
    <row r="50" spans="1:7" s="264" customFormat="1" ht="28" x14ac:dyDescent="0.15">
      <c r="A50" s="261" t="s">
        <v>2000</v>
      </c>
      <c r="B50" s="216" t="s">
        <v>2001</v>
      </c>
      <c r="C50" s="238"/>
      <c r="D50" s="238"/>
      <c r="E50" s="238"/>
      <c r="F50" s="270">
        <f>IF('数据-取费表'!B24=0,'数据-取费表'!N16,1)</f>
        <v>0.8</v>
      </c>
      <c r="G50" s="253" t="s">
        <v>2002</v>
      </c>
    </row>
    <row r="51" spans="1:7" ht="16.5" customHeight="1" x14ac:dyDescent="0.2">
      <c r="A51" s="261" t="s">
        <v>2003</v>
      </c>
      <c r="B51" s="216" t="s">
        <v>2004</v>
      </c>
      <c r="C51" s="238">
        <f ca="1">ROUND(C49*F50,0)</f>
        <v>22</v>
      </c>
      <c r="D51" s="238"/>
      <c r="E51" s="238"/>
      <c r="F51" s="270"/>
      <c r="G51" s="240" t="s">
        <v>2005</v>
      </c>
    </row>
    <row r="52" spans="1:7" s="214" customFormat="1" ht="17" thickBot="1" x14ac:dyDescent="0.25">
      <c r="A52" s="271" t="s">
        <v>2006</v>
      </c>
      <c r="B52" s="272"/>
      <c r="C52" s="273">
        <f ca="1">C31+C51</f>
        <v>331</v>
      </c>
      <c r="D52" s="272"/>
      <c r="E52" s="272"/>
      <c r="F52" s="272"/>
      <c r="G52" s="274"/>
    </row>
    <row r="55" spans="1:7" ht="16" x14ac:dyDescent="0.15">
      <c r="B55" s="276" t="s">
        <v>2007</v>
      </c>
      <c r="C55" s="277"/>
    </row>
    <row r="56" spans="1:7" ht="14" x14ac:dyDescent="0.15">
      <c r="B56" s="279" t="s">
        <v>1237</v>
      </c>
      <c r="C56" s="281">
        <f ca="1">1-C57</f>
        <v>0.93399999999999994</v>
      </c>
    </row>
    <row r="57" spans="1:7" ht="14" x14ac:dyDescent="0.15">
      <c r="B57" s="279" t="s">
        <v>1238</v>
      </c>
      <c r="C57" s="280">
        <f ca="1">ROUND(C51/C52,3)</f>
        <v>6.6000000000000003E-2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view="pageBreakPreview" zoomScaleNormal="70" zoomScaleSheetLayoutView="100" workbookViewId="0">
      <selection activeCell="C7" sqref="C7"/>
    </sheetView>
  </sheetViews>
  <sheetFormatPr baseColWidth="10" defaultColWidth="8.33203125" defaultRowHeight="13" x14ac:dyDescent="0.2"/>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8" width="10.6640625" style="257" customWidth="1"/>
    <col min="9" max="254" width="9" style="257" customWidth="1"/>
    <col min="255" max="16384" width="8.33203125" style="257"/>
  </cols>
  <sheetData>
    <row r="1" spans="1:8" s="206" customFormat="1" ht="20" x14ac:dyDescent="0.2">
      <c r="A1" s="202" t="s">
        <v>1906</v>
      </c>
      <c r="B1" s="1604" t="s">
        <v>4711</v>
      </c>
      <c r="C1" s="1995" t="s">
        <v>2008</v>
      </c>
      <c r="D1" s="204"/>
      <c r="E1" s="204"/>
      <c r="F1" s="204"/>
      <c r="G1" s="1240">
        <f>MATCH(B1,'数据-取费表'!A6:A16,0)+5</f>
        <v>6</v>
      </c>
      <c r="H1" s="1172" t="str">
        <f>IF(ISERROR(FIND("住宅",B1)),"非住宅","住宅")</f>
        <v>非住宅</v>
      </c>
    </row>
    <row r="2" spans="1:8" s="206" customFormat="1" ht="18" customHeight="1" x14ac:dyDescent="0.2">
      <c r="A2" s="207" t="s">
        <v>1907</v>
      </c>
      <c r="B2" s="208">
        <f ca="1">ROUND(IF(D2="——",C52/10000,C52/10000-E2),0)</f>
        <v>217</v>
      </c>
      <c r="C2" s="205" t="s">
        <v>1908</v>
      </c>
      <c r="D2" s="1989" t="s">
        <v>70</v>
      </c>
      <c r="E2" s="1283" t="e">
        <f ca="1">SUMIF(INDIRECT("'"&amp;G2&amp;"'"&amp;"!A:A"),"承租人权益价值",INDIRECT("'"&amp;G2&amp;"'"&amp;"!c:c"))</f>
        <v>#REF!</v>
      </c>
      <c r="F2" s="1990" t="s">
        <v>1908</v>
      </c>
      <c r="G2" s="1991"/>
    </row>
    <row r="3" spans="1:8" s="206" customFormat="1" ht="18" customHeight="1" thickBot="1" x14ac:dyDescent="0.25">
      <c r="A3" s="209" t="s">
        <v>1909</v>
      </c>
      <c r="B3" s="210">
        <f ca="1">ROUND(B2*10000/(IF(B1="",'数据-汇总表'!E3,INDIRECT("'数据-取费表'!k"&amp;$G$1))),0)</f>
        <v>36898</v>
      </c>
      <c r="C3" s="205" t="s">
        <v>1910</v>
      </c>
      <c r="D3" s="205"/>
      <c r="E3" s="205"/>
      <c r="F3" s="205"/>
      <c r="G3" s="205"/>
    </row>
    <row r="4" spans="1:8" s="214" customFormat="1" ht="16" x14ac:dyDescent="0.2">
      <c r="A4" s="211" t="s">
        <v>1911</v>
      </c>
      <c r="B4" s="212"/>
      <c r="C4" s="212"/>
      <c r="D4" s="212"/>
      <c r="E4" s="212"/>
      <c r="F4" s="212"/>
      <c r="G4" s="213"/>
    </row>
    <row r="5" spans="1:8" s="220" customFormat="1" ht="13.5" customHeight="1" x14ac:dyDescent="0.15">
      <c r="A5" s="261" t="s">
        <v>1912</v>
      </c>
      <c r="B5" s="216" t="s">
        <v>1913</v>
      </c>
      <c r="C5" s="217">
        <f ca="1">C6+C7+C8</f>
        <v>1329165.78</v>
      </c>
      <c r="D5" s="217" t="s">
        <v>1914</v>
      </c>
      <c r="E5" s="218" t="s">
        <v>1915</v>
      </c>
      <c r="F5" s="218" t="s">
        <v>1916</v>
      </c>
      <c r="G5" s="219"/>
    </row>
    <row r="6" spans="1:8" s="220" customFormat="1" ht="13.5" customHeight="1" x14ac:dyDescent="0.15">
      <c r="A6" s="866" t="s">
        <v>1917</v>
      </c>
      <c r="B6" s="221" t="s">
        <v>1918</v>
      </c>
      <c r="C6" s="222">
        <f ca="1">[4]基准地价修正!$C$31*D10</f>
        <v>1278411.78</v>
      </c>
      <c r="D6" s="223"/>
      <c r="E6" s="224"/>
      <c r="F6" s="224"/>
      <c r="G6" s="225"/>
    </row>
    <row r="7" spans="1:8" s="220" customFormat="1" ht="13.5" customHeight="1" x14ac:dyDescent="0.15">
      <c r="A7" s="866" t="s">
        <v>1919</v>
      </c>
      <c r="B7" s="221" t="s">
        <v>1920</v>
      </c>
      <c r="C7" s="226">
        <f ca="1">ROUND(C6*F7,0)</f>
        <v>38992</v>
      </c>
      <c r="D7" s="226"/>
      <c r="E7" s="224"/>
      <c r="F7" s="227">
        <f>IF(项目基本情况!B8="出让",0,'数据-取费表'!B48+'数据-取费表'!B49)</f>
        <v>3.0499999999999999E-2</v>
      </c>
      <c r="G7" s="225"/>
    </row>
    <row r="8" spans="1:8" s="229" customFormat="1" ht="14" x14ac:dyDescent="0.15">
      <c r="A8" s="866" t="s">
        <v>1921</v>
      </c>
      <c r="B8" s="221" t="s">
        <v>1922</v>
      </c>
      <c r="C8" s="226">
        <f ca="1">IF(G8="已包含在土地购买价格中",0,C9+C10)</f>
        <v>11762</v>
      </c>
      <c r="D8" s="228"/>
      <c r="E8" s="226"/>
      <c r="F8" s="227"/>
      <c r="G8" s="1992" t="s">
        <v>4714</v>
      </c>
    </row>
    <row r="9" spans="1:8" s="220" customFormat="1" ht="13.5" customHeight="1" x14ac:dyDescent="0.15">
      <c r="A9" s="867" t="s">
        <v>619</v>
      </c>
      <c r="B9" s="230" t="s">
        <v>1923</v>
      </c>
      <c r="C9" s="231">
        <f ca="1">ROUND(D9*E9,0)</f>
        <v>0</v>
      </c>
      <c r="D9" s="934">
        <f ca="1">IF(B1="",'数据-汇总表'!E5,IF(INDIRECT("'数据-取费表'!c"&amp;$G$1)="住宅",INDIRECT("'数据-取费表'!k"&amp;$G$1),0))</f>
        <v>0</v>
      </c>
      <c r="E9" s="231">
        <f>'数据-取费表'!B27</f>
        <v>0</v>
      </c>
      <c r="F9" s="227"/>
      <c r="G9" s="232"/>
    </row>
    <row r="10" spans="1:8" s="220" customFormat="1" ht="13.5" customHeight="1" x14ac:dyDescent="0.15">
      <c r="A10" s="867" t="s">
        <v>620</v>
      </c>
      <c r="B10" s="230" t="s">
        <v>1925</v>
      </c>
      <c r="C10" s="231">
        <f ca="1">ROUND(D10*E10,0)</f>
        <v>11762</v>
      </c>
      <c r="D10" s="934">
        <f ca="1">IF(B1="",'数据-汇总表'!E6,IF(INDIRECT("'数据-取费表'!c"&amp;$G$1)="住宅",INDIRECT("'数据-取费表'!s"&amp;$G$1),INDIRECT("'数据-取费表'!k"&amp;$G$1)+INDIRECT("'数据-取费表'!s"&amp;$G$1)))</f>
        <v>58.81</v>
      </c>
      <c r="E10" s="231">
        <f>'数据-取费表'!B28</f>
        <v>200</v>
      </c>
      <c r="F10" s="227"/>
      <c r="G10" s="232"/>
    </row>
    <row r="11" spans="1:8" s="220" customFormat="1" ht="13.5" hidden="1" customHeight="1" x14ac:dyDescent="0.15">
      <c r="A11" s="233" t="s">
        <v>7</v>
      </c>
      <c r="B11" s="221" t="s">
        <v>1926</v>
      </c>
      <c r="C11" s="217"/>
      <c r="D11" s="936"/>
      <c r="E11" s="224"/>
      <c r="F11" s="224"/>
      <c r="G11" s="225"/>
    </row>
    <row r="12" spans="1:8" s="220" customFormat="1" ht="13.5" hidden="1" customHeight="1" x14ac:dyDescent="0.15">
      <c r="A12" s="233" t="s">
        <v>8</v>
      </c>
      <c r="B12" s="221" t="s">
        <v>2009</v>
      </c>
      <c r="C12" s="217">
        <v>0</v>
      </c>
      <c r="D12" s="936"/>
      <c r="E12" s="234"/>
      <c r="F12" s="227">
        <v>3.0499999999999999E-2</v>
      </c>
      <c r="G12" s="225"/>
    </row>
    <row r="13" spans="1:8" s="220" customFormat="1" ht="13.5" hidden="1" customHeight="1" x14ac:dyDescent="0.15">
      <c r="A13" s="233" t="s">
        <v>9</v>
      </c>
      <c r="B13" s="221" t="s">
        <v>2010</v>
      </c>
      <c r="C13" s="217"/>
      <c r="D13" s="936"/>
      <c r="E13" s="224"/>
      <c r="F13" s="224"/>
      <c r="G13" s="225"/>
    </row>
    <row r="14" spans="1:8" s="220" customFormat="1" ht="13.5" hidden="1" customHeight="1" x14ac:dyDescent="0.15">
      <c r="A14" s="233" t="s">
        <v>10</v>
      </c>
      <c r="B14" s="221" t="s">
        <v>1922</v>
      </c>
      <c r="C14" s="217"/>
      <c r="D14" s="936"/>
      <c r="E14" s="224"/>
      <c r="F14" s="224"/>
      <c r="G14" s="225" t="s">
        <v>2011</v>
      </c>
    </row>
    <row r="15" spans="1:8" s="220" customFormat="1" ht="13.5" hidden="1" customHeight="1" x14ac:dyDescent="0.15">
      <c r="A15" s="233" t="s">
        <v>11</v>
      </c>
      <c r="B15" s="221" t="s">
        <v>2012</v>
      </c>
      <c r="C15" s="226"/>
      <c r="D15" s="936"/>
      <c r="E15" s="224"/>
      <c r="F15" s="224"/>
      <c r="G15" s="225" t="s">
        <v>2013</v>
      </c>
    </row>
    <row r="16" spans="1:8" s="220" customFormat="1" ht="13.5" hidden="1" customHeight="1" x14ac:dyDescent="0.15">
      <c r="A16" s="233" t="s">
        <v>12</v>
      </c>
      <c r="B16" s="221" t="s">
        <v>1922</v>
      </c>
      <c r="C16" s="226"/>
      <c r="D16" s="936"/>
      <c r="E16" s="224"/>
      <c r="F16" s="224"/>
      <c r="G16" s="225"/>
    </row>
    <row r="17" spans="1:7" s="220" customFormat="1" ht="13.5" hidden="1" customHeight="1" x14ac:dyDescent="0.15">
      <c r="A17" s="233" t="s">
        <v>13</v>
      </c>
      <c r="B17" s="221" t="s">
        <v>2014</v>
      </c>
      <c r="C17" s="235"/>
      <c r="D17" s="937"/>
      <c r="E17" s="235"/>
      <c r="F17" s="235"/>
      <c r="G17" s="225" t="s">
        <v>2013</v>
      </c>
    </row>
    <row r="18" spans="1:7" s="220" customFormat="1" ht="13.5" hidden="1" customHeight="1" x14ac:dyDescent="0.15">
      <c r="A18" s="233" t="s">
        <v>14</v>
      </c>
      <c r="B18" s="221" t="s">
        <v>2015</v>
      </c>
      <c r="C18" s="226">
        <v>0</v>
      </c>
      <c r="D18" s="936"/>
      <c r="E18" s="224"/>
      <c r="F18" s="227">
        <v>3.0499999999999999E-2</v>
      </c>
      <c r="G18" s="225" t="s">
        <v>2016</v>
      </c>
    </row>
    <row r="19" spans="1:7" s="229" customFormat="1" ht="13.5" customHeight="1" x14ac:dyDescent="0.15">
      <c r="A19" s="261" t="s">
        <v>2017</v>
      </c>
      <c r="B19" s="216" t="s">
        <v>2018</v>
      </c>
      <c r="C19" s="217" t="str">
        <f>IF(G19="已包含在土地取得成本中","0",ROUND(D19*E19,0))</f>
        <v>0</v>
      </c>
      <c r="D19" s="938">
        <f ca="1">D9+D10</f>
        <v>58.81</v>
      </c>
      <c r="E19" s="217">
        <f>'数据-取费表'!B31</f>
        <v>200</v>
      </c>
      <c r="F19" s="237"/>
      <c r="G19" s="1992" t="s">
        <v>4713</v>
      </c>
    </row>
    <row r="20" spans="1:7" s="220" customFormat="1" ht="13.5" customHeight="1" x14ac:dyDescent="0.15">
      <c r="A20" s="261" t="s">
        <v>2019</v>
      </c>
      <c r="B20" s="216" t="s">
        <v>2020</v>
      </c>
      <c r="C20" s="238">
        <f ca="1">ROUND((C5+C19)*F20,0)</f>
        <v>26583</v>
      </c>
      <c r="D20" s="238"/>
      <c r="E20" s="238"/>
      <c r="F20" s="239">
        <f>'数据-取费表'!B37</f>
        <v>0.02</v>
      </c>
      <c r="G20" s="240" t="s">
        <v>2021</v>
      </c>
    </row>
    <row r="21" spans="1:7" s="220" customFormat="1" ht="13.5" customHeight="1" x14ac:dyDescent="0.15">
      <c r="A21" s="261" t="s">
        <v>2022</v>
      </c>
      <c r="B21" s="216" t="s">
        <v>2023</v>
      </c>
      <c r="C21" s="241">
        <f>F21</f>
        <v>0.02</v>
      </c>
      <c r="D21" s="242" t="s">
        <v>2024</v>
      </c>
      <c r="E21" s="238"/>
      <c r="F21" s="239">
        <f>'数据-取费表'!B38</f>
        <v>0.02</v>
      </c>
      <c r="G21" s="240" t="s">
        <v>2025</v>
      </c>
    </row>
    <row r="22" spans="1:7" s="220" customFormat="1" ht="13.5" customHeight="1" x14ac:dyDescent="0.15">
      <c r="A22" s="261" t="s">
        <v>2026</v>
      </c>
      <c r="B22" s="216" t="s">
        <v>2027</v>
      </c>
      <c r="C22" s="1241">
        <f ca="1">ROUND(SUM(C23:C25),0)</f>
        <v>99770</v>
      </c>
      <c r="D22" s="241">
        <f ca="1">C26</f>
        <v>6.9999999999999999E-4</v>
      </c>
      <c r="E22" s="242" t="s">
        <v>2024</v>
      </c>
      <c r="F22" s="243">
        <f ca="1">'数据-取费表'!B40</f>
        <v>3.6499999999999998E-2</v>
      </c>
      <c r="G22" s="240" t="str">
        <f>IF('数据-取费表'!B22&lt;=1,"单利计息","复利计息")</f>
        <v>复利计息</v>
      </c>
    </row>
    <row r="23" spans="1:7" s="220" customFormat="1" ht="13.5" customHeight="1" x14ac:dyDescent="0.15">
      <c r="A23" s="868" t="s">
        <v>1917</v>
      </c>
      <c r="B23" s="221" t="s">
        <v>2028</v>
      </c>
      <c r="C23" s="1242">
        <f ca="1">ROUND(IF('数据-取费表'!B22&lt;=1,C5*F22*'数据-取费表'!B22,C5*(POWER((1+F22),'数据-取费表'!B22)-1)),0)</f>
        <v>98800</v>
      </c>
      <c r="D23" s="244"/>
      <c r="E23" s="244"/>
      <c r="F23" s="245"/>
      <c r="G23" s="246" t="s">
        <v>2029</v>
      </c>
    </row>
    <row r="24" spans="1:7" s="220" customFormat="1" ht="13.5" customHeight="1" x14ac:dyDescent="0.15">
      <c r="A24" s="868" t="s">
        <v>1919</v>
      </c>
      <c r="B24" s="221" t="s">
        <v>2030</v>
      </c>
      <c r="C24" s="1242">
        <f ca="1">ROUND(IF('数据-取费表'!B22&lt;=1,C19*F22*('数据-取费表'!B19/2+'数据-取费表'!B20),C19*(POWER((1+F22),('数据-取费表'!B19/2+'数据-取费表'!B20))-1)),0)</f>
        <v>0</v>
      </c>
      <c r="D24" s="244"/>
      <c r="E24" s="244"/>
      <c r="F24" s="245"/>
      <c r="G24" s="246" t="s">
        <v>2031</v>
      </c>
    </row>
    <row r="25" spans="1:7" s="220" customFormat="1" ht="28" x14ac:dyDescent="0.15">
      <c r="A25" s="868" t="s">
        <v>1921</v>
      </c>
      <c r="B25" s="221" t="s">
        <v>2032</v>
      </c>
      <c r="C25" s="1242">
        <f ca="1">ROUND(IF('数据-取费表'!B22&lt;=1,C20*F22*'数据-取费表'!B22/2,C20*(POWER((1+F22),'数据-取费表'!B22/2)-1)),0)</f>
        <v>970</v>
      </c>
      <c r="D25" s="244"/>
      <c r="E25" s="247"/>
      <c r="F25" s="245"/>
      <c r="G25" s="248" t="s">
        <v>2033</v>
      </c>
    </row>
    <row r="26" spans="1:7" s="220" customFormat="1" ht="14" x14ac:dyDescent="0.15">
      <c r="A26" s="868" t="s">
        <v>614</v>
      </c>
      <c r="B26" s="221" t="s">
        <v>1956</v>
      </c>
      <c r="C26" s="244">
        <f ca="1">ROUND(IF('数据-取费表'!B22&lt;=1,F21*F22*'数据-取费表'!B22/2,F21*(POWER((1+F22),'数据-取费表'!B22/2)-1)),4)</f>
        <v>6.9999999999999999E-4</v>
      </c>
      <c r="D26" s="244"/>
      <c r="E26" s="247"/>
      <c r="F26" s="245"/>
      <c r="G26" s="249"/>
    </row>
    <row r="27" spans="1:7" s="220" customFormat="1" ht="28" x14ac:dyDescent="0.15">
      <c r="A27" s="261" t="s">
        <v>1957</v>
      </c>
      <c r="B27" s="250" t="s">
        <v>1958</v>
      </c>
      <c r="C27" s="251">
        <f ca="1">C28</f>
        <v>338937</v>
      </c>
      <c r="D27" s="241">
        <f ca="1">C29</f>
        <v>5.0000000000000001E-3</v>
      </c>
      <c r="E27" s="242" t="s">
        <v>1959</v>
      </c>
      <c r="F27" s="252">
        <f ca="1">IF(B1="",'数据-取费表'!Q16,INDIRECT("'数据-取费表'!q"&amp;$G$1))</f>
        <v>0.25</v>
      </c>
      <c r="G27" s="253" t="s">
        <v>1960</v>
      </c>
    </row>
    <row r="28" spans="1:7" s="220" customFormat="1" ht="13.5" customHeight="1" x14ac:dyDescent="0.15">
      <c r="A28" s="868" t="s">
        <v>610</v>
      </c>
      <c r="B28" s="254" t="s">
        <v>1961</v>
      </c>
      <c r="C28" s="255">
        <f ca="1">ROUND((C5+C19+C20)*F27,0)</f>
        <v>338937</v>
      </c>
      <c r="D28" s="241"/>
      <c r="E28" s="242"/>
      <c r="F28" s="252"/>
      <c r="G28" s="253"/>
    </row>
    <row r="29" spans="1:7" s="220" customFormat="1" ht="13.5" customHeight="1" x14ac:dyDescent="0.15">
      <c r="A29" s="868" t="s">
        <v>611</v>
      </c>
      <c r="B29" s="254" t="s">
        <v>1962</v>
      </c>
      <c r="C29" s="244">
        <f ca="1">ROUND(C21*F27,4)</f>
        <v>5.0000000000000001E-3</v>
      </c>
      <c r="D29" s="241"/>
      <c r="E29" s="242"/>
      <c r="F29" s="252"/>
      <c r="G29" s="253"/>
    </row>
    <row r="30" spans="1:7" s="220" customFormat="1" ht="13.5" customHeight="1" x14ac:dyDescent="0.15">
      <c r="A30" s="261" t="s">
        <v>1963</v>
      </c>
      <c r="B30" s="216" t="s">
        <v>1964</v>
      </c>
      <c r="C30" s="241">
        <f>ROUND(F30/(1+'数据-取费表'!C42),4)</f>
        <v>5.33E-2</v>
      </c>
      <c r="D30" s="242" t="s">
        <v>1959</v>
      </c>
      <c r="E30" s="247"/>
      <c r="F30" s="243">
        <f>'数据-取费表'!B41</f>
        <v>5.6000000000000001E-2</v>
      </c>
      <c r="G30" s="240" t="s">
        <v>1965</v>
      </c>
    </row>
    <row r="31" spans="1:7" ht="16.5" customHeight="1" x14ac:dyDescent="0.2">
      <c r="A31" s="215">
        <v>1</v>
      </c>
      <c r="B31" s="216" t="s">
        <v>1966</v>
      </c>
      <c r="C31" s="217">
        <f ca="1">ROUND((C5+C19+C20+C22+C27)/(1-C21-D22-D27-C30),0)</f>
        <v>1948378</v>
      </c>
      <c r="D31" s="236"/>
      <c r="E31" s="217"/>
      <c r="F31" s="256"/>
      <c r="G31" s="240" t="s">
        <v>1967</v>
      </c>
    </row>
    <row r="32" spans="1:7" s="214" customFormat="1" ht="16" x14ac:dyDescent="0.2">
      <c r="A32" s="258" t="s">
        <v>2034</v>
      </c>
      <c r="B32" s="259"/>
      <c r="C32" s="259"/>
      <c r="D32" s="259"/>
      <c r="E32" s="259"/>
      <c r="F32" s="259"/>
      <c r="G32" s="260"/>
    </row>
    <row r="33" spans="1:7" s="220" customFormat="1" ht="13.5" customHeight="1" x14ac:dyDescent="0.15">
      <c r="A33" s="261" t="s">
        <v>601</v>
      </c>
      <c r="B33" s="216" t="s">
        <v>2035</v>
      </c>
      <c r="C33" s="262">
        <f ca="1">SUM(C34:C38)</f>
        <v>196131</v>
      </c>
      <c r="D33" s="238"/>
      <c r="E33" s="218"/>
      <c r="F33" s="247"/>
      <c r="G33" s="240"/>
    </row>
    <row r="34" spans="1:7" s="264" customFormat="1" ht="13.5" customHeight="1" x14ac:dyDescent="0.15">
      <c r="A34" s="868" t="s">
        <v>610</v>
      </c>
      <c r="B34" s="221" t="s">
        <v>1970</v>
      </c>
      <c r="C34" s="226">
        <f ca="1">ROUND(IF(B1="",SUMPRODUCT('数据-取费表'!K6:K14,'数据-取费表'!L6:L14),INDIRECT("'数据-取费表'!l"&amp;$G$1)*INDIRECT("'数据-取费表'!k"&amp;$G$1)+'数据-取费表'!L14*INDIRECT("'数据-取费表'!S"&amp;$G$1)),0)</f>
        <v>176430</v>
      </c>
      <c r="D34" s="223"/>
      <c r="E34" s="226"/>
      <c r="F34" s="263"/>
      <c r="G34" s="225"/>
    </row>
    <row r="35" spans="1:7" ht="13.5" customHeight="1" x14ac:dyDescent="0.15">
      <c r="A35" s="868" t="s">
        <v>615</v>
      </c>
      <c r="B35" s="221" t="s">
        <v>1972</v>
      </c>
      <c r="C35" s="226">
        <f ca="1">ROUND(C34*F35,0)</f>
        <v>5293</v>
      </c>
      <c r="D35" s="226"/>
      <c r="E35" s="226"/>
      <c r="F35" s="265">
        <f>'数据-取费表'!B33</f>
        <v>0.03</v>
      </c>
      <c r="G35" s="225" t="s">
        <v>1973</v>
      </c>
    </row>
    <row r="36" spans="1:7" ht="28" x14ac:dyDescent="0.15">
      <c r="A36" s="868" t="s">
        <v>616</v>
      </c>
      <c r="B36" s="221" t="s">
        <v>1974</v>
      </c>
      <c r="C36" s="226">
        <f ca="1">ROUND(IF(B1="",SUM('数据-取费表'!AP6:AP13)*F36,IF(INDIRECT("'数据-取费表'!c"&amp;$G$1)="住宅",INDIRECT("'数据-取费表'!k"&amp;$G$1)*INDIRECT("'数据-取费表'!l"&amp;$G$1)*F36,0)),0)</f>
        <v>0</v>
      </c>
      <c r="D36" s="226"/>
      <c r="E36" s="226"/>
      <c r="F36" s="265">
        <f>'数据-取费表'!B34</f>
        <v>0.1</v>
      </c>
      <c r="G36" s="266" t="s">
        <v>1975</v>
      </c>
    </row>
    <row r="37" spans="1:7" s="264" customFormat="1" ht="13.5" customHeight="1" x14ac:dyDescent="0.15">
      <c r="A37" s="868" t="s">
        <v>617</v>
      </c>
      <c r="B37" s="221" t="s">
        <v>1976</v>
      </c>
      <c r="C37" s="255">
        <f ca="1">ROUND(E37*D37,0)</f>
        <v>11762</v>
      </c>
      <c r="D37" s="223">
        <f ca="1">D19</f>
        <v>58.81</v>
      </c>
      <c r="E37" s="255">
        <f>'数据-取费表'!B35</f>
        <v>200</v>
      </c>
      <c r="F37" s="265"/>
      <c r="G37" s="267"/>
    </row>
    <row r="38" spans="1:7" ht="13.5" customHeight="1" x14ac:dyDescent="0.15">
      <c r="A38" s="868" t="s">
        <v>618</v>
      </c>
      <c r="B38" s="221" t="s">
        <v>1978</v>
      </c>
      <c r="C38" s="226">
        <f ca="1">ROUND(C34*F38,0)</f>
        <v>2646</v>
      </c>
      <c r="D38" s="226"/>
      <c r="E38" s="226"/>
      <c r="F38" s="265">
        <f>'数据-取费表'!B36</f>
        <v>1.4999999999999999E-2</v>
      </c>
      <c r="G38" s="225" t="s">
        <v>1973</v>
      </c>
    </row>
    <row r="39" spans="1:7" s="220" customFormat="1" ht="13.5" customHeight="1" x14ac:dyDescent="0.15">
      <c r="A39" s="261" t="s">
        <v>1979</v>
      </c>
      <c r="B39" s="216" t="s">
        <v>1980</v>
      </c>
      <c r="C39" s="238">
        <f ca="1">ROUND(C33*F20,0)</f>
        <v>3923</v>
      </c>
      <c r="D39" s="238"/>
      <c r="E39" s="238"/>
      <c r="F39" s="2485">
        <f>F20</f>
        <v>0.02</v>
      </c>
      <c r="G39" s="240" t="s">
        <v>1981</v>
      </c>
    </row>
    <row r="40" spans="1:7" s="220" customFormat="1" ht="13.5" customHeight="1" x14ac:dyDescent="0.15">
      <c r="A40" s="261" t="s">
        <v>1982</v>
      </c>
      <c r="B40" s="216" t="s">
        <v>1983</v>
      </c>
      <c r="C40" s="1447">
        <f>F21</f>
        <v>0.02</v>
      </c>
      <c r="D40" s="242" t="s">
        <v>1984</v>
      </c>
      <c r="E40" s="238"/>
      <c r="F40" s="2485">
        <f>F21</f>
        <v>0.02</v>
      </c>
      <c r="G40" s="240" t="s">
        <v>1985</v>
      </c>
    </row>
    <row r="41" spans="1:7" s="220" customFormat="1" ht="13.5" customHeight="1" x14ac:dyDescent="0.15">
      <c r="A41" s="261" t="s">
        <v>1986</v>
      </c>
      <c r="B41" s="216" t="s">
        <v>1987</v>
      </c>
      <c r="C41" s="238">
        <f ca="1">ROUND(SUM(C42:C43),0)</f>
        <v>7302</v>
      </c>
      <c r="D41" s="241">
        <f ca="1">C44</f>
        <v>6.9999999999999999E-4</v>
      </c>
      <c r="E41" s="242" t="s">
        <v>1984</v>
      </c>
      <c r="F41" s="2486">
        <f ca="1">F22</f>
        <v>3.6499999999999998E-2</v>
      </c>
      <c r="G41" s="240" t="str">
        <f>IF('数据-取费表'!B22&lt;=1,"单利计息","复利计息")</f>
        <v>复利计息</v>
      </c>
    </row>
    <row r="42" spans="1:7" ht="13.5" customHeight="1" x14ac:dyDescent="0.15">
      <c r="A42" s="868" t="s">
        <v>610</v>
      </c>
      <c r="B42" s="221" t="s">
        <v>1988</v>
      </c>
      <c r="C42" s="244">
        <f ca="1">ROUND(IF('数据-取费表'!B22&lt;=1,C33*F22*'数据-取费表'!B20/2,C33*(POWER((1+F22),'数据-取费表'!B20/2)-1)),0)</f>
        <v>7159</v>
      </c>
      <c r="D42" s="244"/>
      <c r="E42" s="244"/>
      <c r="F42" s="245"/>
      <c r="G42" s="3637" t="s">
        <v>2036</v>
      </c>
    </row>
    <row r="43" spans="1:7" ht="13.5" customHeight="1" x14ac:dyDescent="0.15">
      <c r="A43" s="868" t="s">
        <v>611</v>
      </c>
      <c r="B43" s="221" t="s">
        <v>1990</v>
      </c>
      <c r="C43" s="244">
        <f ca="1">ROUND(IF('数据-取费表'!B22&lt;=1,C39*F22*'数据-取费表'!B20/2,C39*(POWER((1+F22),'数据-取费表'!B20/2)-1)),0)</f>
        <v>143</v>
      </c>
      <c r="D43" s="244"/>
      <c r="E43" s="244"/>
      <c r="F43" s="245"/>
      <c r="G43" s="3638"/>
    </row>
    <row r="44" spans="1:7" ht="13.5" customHeight="1" x14ac:dyDescent="0.15">
      <c r="A44" s="868" t="s">
        <v>612</v>
      </c>
      <c r="B44" s="221" t="s">
        <v>1991</v>
      </c>
      <c r="C44" s="244">
        <f ca="1">ROUND(IF('数据-取费表'!B22&lt;=1,C40*F22*'数据-取费表'!B20/2,C40*(POWER((1+F22),'数据-取费表'!B20/2)-1)),4)</f>
        <v>6.9999999999999999E-4</v>
      </c>
      <c r="D44" s="244"/>
      <c r="E44" s="244"/>
      <c r="F44" s="245"/>
      <c r="G44" s="3639"/>
    </row>
    <row r="45" spans="1:7" s="220" customFormat="1" ht="13.5" customHeight="1" x14ac:dyDescent="0.15">
      <c r="A45" s="261" t="s">
        <v>1992</v>
      </c>
      <c r="B45" s="250" t="s">
        <v>1958</v>
      </c>
      <c r="C45" s="251">
        <f ca="1">C46</f>
        <v>50014</v>
      </c>
      <c r="D45" s="241">
        <f ca="1">C47</f>
        <v>5.0000000000000001E-3</v>
      </c>
      <c r="E45" s="242" t="s">
        <v>1984</v>
      </c>
      <c r="F45" s="2487">
        <f ca="1">F27</f>
        <v>0.25</v>
      </c>
      <c r="G45" s="253" t="s">
        <v>1993</v>
      </c>
    </row>
    <row r="46" spans="1:7" s="220" customFormat="1" ht="13.5" customHeight="1" x14ac:dyDescent="0.15">
      <c r="A46" s="868" t="s">
        <v>610</v>
      </c>
      <c r="B46" s="254" t="s">
        <v>1994</v>
      </c>
      <c r="C46" s="255">
        <f ca="1">ROUND((C33+C39)*F27,0)</f>
        <v>50014</v>
      </c>
      <c r="D46" s="269"/>
      <c r="E46" s="242"/>
      <c r="F46" s="252"/>
      <c r="G46" s="253"/>
    </row>
    <row r="47" spans="1:7" s="220" customFormat="1" ht="13.5" customHeight="1" x14ac:dyDescent="0.15">
      <c r="A47" s="868" t="s">
        <v>611</v>
      </c>
      <c r="B47" s="254" t="s">
        <v>1995</v>
      </c>
      <c r="C47" s="244">
        <f ca="1">ROUND(C40*F27,4)</f>
        <v>5.0000000000000001E-3</v>
      </c>
      <c r="D47" s="269"/>
      <c r="E47" s="242"/>
      <c r="F47" s="252"/>
      <c r="G47" s="253"/>
    </row>
    <row r="48" spans="1:7" s="220" customFormat="1" ht="13.5" customHeight="1" x14ac:dyDescent="0.15">
      <c r="A48" s="261" t="s">
        <v>1957</v>
      </c>
      <c r="B48" s="216" t="s">
        <v>1996</v>
      </c>
      <c r="C48" s="268">
        <f>ROUND(F30/(1+'数据-取费表'!C42),4)</f>
        <v>5.33E-2</v>
      </c>
      <c r="D48" s="242" t="s">
        <v>1984</v>
      </c>
      <c r="E48" s="238"/>
      <c r="F48" s="2486">
        <f>F30</f>
        <v>5.6000000000000001E-2</v>
      </c>
      <c r="G48" s="240" t="s">
        <v>1997</v>
      </c>
    </row>
    <row r="49" spans="1:7" ht="16.5" customHeight="1" x14ac:dyDescent="0.2">
      <c r="A49" s="261" t="s">
        <v>1963</v>
      </c>
      <c r="B49" s="216" t="s">
        <v>2037</v>
      </c>
      <c r="C49" s="238">
        <f ca="1">ROUND((C33+C39+C41+C45)/(1-C40-D41-D45-C48),0)</f>
        <v>279446</v>
      </c>
      <c r="D49" s="238"/>
      <c r="E49" s="238"/>
      <c r="F49" s="270"/>
      <c r="G49" s="240" t="s">
        <v>1999</v>
      </c>
    </row>
    <row r="50" spans="1:7" s="264" customFormat="1" ht="14" x14ac:dyDescent="0.15">
      <c r="A50" s="261" t="s">
        <v>2000</v>
      </c>
      <c r="B50" s="216" t="s">
        <v>2001</v>
      </c>
      <c r="C50" s="238"/>
      <c r="D50" s="238"/>
      <c r="E50" s="238"/>
      <c r="F50" s="270">
        <f>IF('数据-取费表'!B24=0,'数据-取费表'!N16,1)</f>
        <v>0.8</v>
      </c>
      <c r="G50" s="253"/>
    </row>
    <row r="51" spans="1:7" ht="16.5" customHeight="1" x14ac:dyDescent="0.2">
      <c r="A51" s="261" t="s">
        <v>2003</v>
      </c>
      <c r="B51" s="216" t="s">
        <v>2038</v>
      </c>
      <c r="C51" s="238">
        <f ca="1">ROUND(C49*F50,0)</f>
        <v>223557</v>
      </c>
      <c r="D51" s="238"/>
      <c r="E51" s="238"/>
      <c r="F51" s="270"/>
      <c r="G51" s="240" t="s">
        <v>2005</v>
      </c>
    </row>
    <row r="52" spans="1:7" s="214" customFormat="1" ht="17" thickBot="1" x14ac:dyDescent="0.25">
      <c r="A52" s="271" t="s">
        <v>2006</v>
      </c>
      <c r="B52" s="272"/>
      <c r="C52" s="273">
        <f ca="1">C31+C51</f>
        <v>2171935</v>
      </c>
      <c r="D52" s="272"/>
      <c r="E52" s="272"/>
      <c r="F52" s="272"/>
      <c r="G52" s="274"/>
    </row>
    <row r="55" spans="1:7" ht="16" x14ac:dyDescent="0.15">
      <c r="B55" s="276" t="s">
        <v>2007</v>
      </c>
      <c r="C55" s="277"/>
    </row>
    <row r="56" spans="1:7" ht="14" x14ac:dyDescent="0.15">
      <c r="B56" s="279" t="s">
        <v>1237</v>
      </c>
      <c r="C56" s="281">
        <f ca="1">1-C57</f>
        <v>0.89700000000000002</v>
      </c>
    </row>
    <row r="57" spans="1:7" ht="14" x14ac:dyDescent="0.15">
      <c r="B57" s="279" t="s">
        <v>1238</v>
      </c>
      <c r="C57" s="280">
        <f ca="1">ROUND(C51/C52,3)</f>
        <v>0.10299999999999999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baseColWidth="10" defaultColWidth="9" defaultRowHeight="14" x14ac:dyDescent="0.2"/>
  <cols>
    <col min="1" max="1" width="84" style="1612" customWidth="1"/>
    <col min="2" max="16384" width="9" style="1612"/>
  </cols>
  <sheetData>
    <row r="1" spans="1:1" ht="24" x14ac:dyDescent="0.2">
      <c r="A1" s="1611" t="s">
        <v>1335</v>
      </c>
    </row>
    <row r="2" spans="1:1" x14ac:dyDescent="0.2">
      <c r="A2" s="1613"/>
    </row>
    <row r="3" spans="1:1" ht="18" x14ac:dyDescent="0.2">
      <c r="A3" s="1614" t="str">
        <f>项目基本情况!B5&amp;"："</f>
        <v>：</v>
      </c>
    </row>
    <row r="4" spans="1:1" ht="18" x14ac:dyDescent="0.2">
      <c r="A4" s="1615" t="str">
        <f>"受贵公司委托，我公司对"&amp;项目基本情况!S1&amp;"进行了预评估。"</f>
        <v>受贵公司委托，我公司对北京市房地产市场价值进行了预评估。</v>
      </c>
    </row>
    <row r="5" spans="1:1" ht="18" x14ac:dyDescent="0.2">
      <c r="A5" s="1616" t="s">
        <v>1336</v>
      </c>
    </row>
    <row r="6" spans="1:1" ht="18" x14ac:dyDescent="0.2">
      <c r="A6" s="1617" t="s">
        <v>1337</v>
      </c>
    </row>
    <row r="7" spans="1:1" ht="36" x14ac:dyDescent="0.2">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估价对象为北京市房地产，为所有。根据《国有土地使用证》[]，估价对象（分摊）出让国有建设用地使用权面积为0平方米，建筑面积为58.81平方米。</v>
      </c>
    </row>
    <row r="8" spans="1:1" ht="53" x14ac:dyDescent="0.2">
      <c r="A8" s="1618" t="s">
        <v>1338</v>
      </c>
    </row>
    <row r="9" spans="1:1" ht="18" x14ac:dyDescent="0.2">
      <c r="A9" s="1617" t="s">
        <v>1339</v>
      </c>
    </row>
    <row r="10" spans="1:1" ht="54" x14ac:dyDescent="0.2">
      <c r="A10" s="1615"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估价对象为北京市房地产,属开发建设的居住项目，该项目尚在开发建设中。根据《国有土地使用证》[]，估价对象（分摊）出让国有建设用地使用权面积为0平方米，规划建筑面积为58.81平方米。</v>
      </c>
    </row>
    <row r="11" spans="1:1" ht="70" x14ac:dyDescent="0.2">
      <c r="A11" s="1618" t="s">
        <v>1340</v>
      </c>
    </row>
    <row r="12" spans="1:1" ht="18" x14ac:dyDescent="0.2">
      <c r="A12" s="1616" t="s">
        <v>1341</v>
      </c>
    </row>
    <row r="13" spans="1:1" ht="38.25" customHeight="1" x14ac:dyDescent="0.2">
      <c r="A13" s="1619" t="str">
        <f>IF(项目基本情况!B8="抵押",IF(项目基本情况!B5=项目基本情况!B6,定义!C51,定义!B51),定义!D51)</f>
        <v>为估价委托人了解估价对象房地产市场价值提供参考依据。</v>
      </c>
    </row>
    <row r="14" spans="1:1" ht="18" x14ac:dyDescent="0.2">
      <c r="A14" s="1620" t="s">
        <v>1342</v>
      </c>
    </row>
    <row r="15" spans="1:1" ht="18" x14ac:dyDescent="0.2">
      <c r="A15" s="1621" t="str">
        <f>TEXT(项目基本情况!D3,"yyyy年m月d日;;")&amp;IF(项目基本情况!D3=项目基本情况!B3,"（评估专业人员实地查勘之日）","")</f>
        <v>2022年11月3日（评估专业人员实地查勘之日）</v>
      </c>
    </row>
    <row r="16" spans="1:1" ht="18" x14ac:dyDescent="0.2">
      <c r="A16" s="1620" t="s">
        <v>1343</v>
      </c>
    </row>
    <row r="17" spans="1:1" ht="68" x14ac:dyDescent="0.2">
      <c r="A17" s="1615" t="s">
        <v>1344</v>
      </c>
    </row>
    <row r="18" spans="1:1" ht="54" x14ac:dyDescent="0.2">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日，估价对象规划用途为，土地取得方式为出让，出让国有建设用地使用权剩余土地使用年限为，假定未设立法定优先受偿款下的房地产市场价值。</v>
      </c>
    </row>
    <row r="19" spans="1:1" ht="157.5" customHeight="1" x14ac:dyDescent="0.2">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x14ac:dyDescent="0.2">
      <c r="A20" s="1615" t="str">
        <f>IF(项目基本情况!B9="房地产市场价值","——",IF(项目基本情况!E8="房地产抵押价值",定义!C54,IF(项目基本情况!E8="已注销",定义!C55,定义!C56)))</f>
        <v>——</v>
      </c>
    </row>
    <row r="21" spans="1:1" ht="18" x14ac:dyDescent="0.2">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x14ac:dyDescent="0.2">
      <c r="A22" s="1615" t="str">
        <f>IF(项目基本情况!B9="房地产市场价值","——",IF(项目基本情况!E9="——","",定义!C57))</f>
        <v>——</v>
      </c>
    </row>
    <row r="23" spans="1:1" ht="18" x14ac:dyDescent="0.2">
      <c r="A23" s="1620" t="s">
        <v>1333</v>
      </c>
    </row>
    <row r="24" spans="1:1" ht="18" x14ac:dyDescent="0.2">
      <c r="A24" s="1622" t="str">
        <f>"本次评估采用的主估价方法为"&amp;'结果表-商业'!K4&amp;"和"&amp;'结果表-商业'!L4&amp;"。"</f>
        <v>本次评估采用的主估价方法为收益法和成本法。</v>
      </c>
    </row>
    <row r="25" spans="1:1" ht="18" x14ac:dyDescent="0.2">
      <c r="A25" s="1622"/>
    </row>
    <row r="26" spans="1:1" ht="18" x14ac:dyDescent="0.2">
      <c r="A26" s="1623" t="s">
        <v>1334</v>
      </c>
    </row>
    <row r="27" spans="1:1" x14ac:dyDescent="0.2">
      <c r="A27" s="1624"/>
    </row>
    <row r="28" spans="1:1" x14ac:dyDescent="0.2">
      <c r="A28" s="1624"/>
    </row>
    <row r="29" spans="1:1" x14ac:dyDescent="0.2">
      <c r="A29" s="1624"/>
    </row>
    <row r="30" spans="1:1" x14ac:dyDescent="0.2">
      <c r="A30" s="1624"/>
    </row>
    <row r="31" spans="1:1" x14ac:dyDescent="0.2">
      <c r="A31" s="1624"/>
    </row>
    <row r="32" spans="1:1" x14ac:dyDescent="0.2">
      <c r="A32" s="1624"/>
    </row>
    <row r="33" spans="1:1" x14ac:dyDescent="0.2">
      <c r="A33" s="1624"/>
    </row>
    <row r="34" spans="1:1" x14ac:dyDescent="0.2">
      <c r="A34" s="1624"/>
    </row>
    <row r="35" spans="1:1" x14ac:dyDescent="0.2">
      <c r="A35" s="1624"/>
    </row>
    <row r="36" spans="1:1" x14ac:dyDescent="0.2">
      <c r="A36" s="1624"/>
    </row>
    <row r="37" spans="1:1" x14ac:dyDescent="0.2">
      <c r="A37" s="1624"/>
    </row>
    <row r="38" spans="1:1" x14ac:dyDescent="0.2">
      <c r="A38" s="1624"/>
    </row>
    <row r="39" spans="1:1" x14ac:dyDescent="0.2">
      <c r="A39" s="1624"/>
    </row>
    <row r="40" spans="1:1" x14ac:dyDescent="0.2">
      <c r="A40" s="1624"/>
    </row>
    <row r="41" spans="1:1" x14ac:dyDescent="0.2">
      <c r="A41" s="1624"/>
    </row>
    <row r="42" spans="1:1" x14ac:dyDescent="0.2">
      <c r="A42" s="1624"/>
    </row>
    <row r="43" spans="1:1" x14ac:dyDescent="0.2">
      <c r="A43" s="1624"/>
    </row>
    <row r="44" spans="1:1" x14ac:dyDescent="0.2">
      <c r="A44" s="1624"/>
    </row>
    <row r="45" spans="1:1" x14ac:dyDescent="0.2">
      <c r="A45" s="1624"/>
    </row>
    <row r="46" spans="1:1" x14ac:dyDescent="0.2">
      <c r="A46" s="1624"/>
    </row>
    <row r="47" spans="1:1" x14ac:dyDescent="0.2">
      <c r="A47" s="1624"/>
    </row>
    <row r="48" spans="1:1" x14ac:dyDescent="0.2">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view="pageBreakPreview" zoomScale="70" zoomScaleNormal="70" zoomScaleSheetLayoutView="70" workbookViewId="0">
      <selection activeCell="Q10" sqref="Q10"/>
    </sheetView>
  </sheetViews>
  <sheetFormatPr baseColWidth="10" defaultColWidth="6.6640625" defaultRowHeight="13" x14ac:dyDescent="0.2"/>
  <cols>
    <col min="1" max="1" width="9.6640625" style="736" customWidth="1"/>
    <col min="2" max="2" width="25.6640625" style="869" customWidth="1"/>
    <col min="3" max="3" width="10.33203125" style="912" customWidth="1"/>
    <col min="4" max="4" width="9.83203125" style="869" customWidth="1"/>
    <col min="5" max="5" width="9.5" style="736" customWidth="1"/>
    <col min="6" max="6" width="10.1640625" style="869" customWidth="1"/>
    <col min="7" max="7" width="10.664062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640625" style="869"/>
  </cols>
  <sheetData>
    <row r="1" spans="1:33" ht="20" x14ac:dyDescent="0.2">
      <c r="A1" s="202" t="s">
        <v>2039</v>
      </c>
      <c r="B1" s="1305"/>
      <c r="C1" s="1306"/>
      <c r="D1" s="1304"/>
      <c r="E1" s="2986"/>
      <c r="F1" s="2986"/>
      <c r="G1" s="2849"/>
      <c r="H1" s="2986"/>
      <c r="I1" s="2986"/>
      <c r="J1" s="2986"/>
      <c r="K1" s="2987">
        <f>MATCH(C1,'数据-取费表'!A6:A16,0)+5</f>
        <v>7</v>
      </c>
    </row>
    <row r="2" spans="1:33" ht="18" customHeight="1" x14ac:dyDescent="0.2">
      <c r="A2" s="207" t="s">
        <v>1907</v>
      </c>
      <c r="B2" s="210">
        <f ca="1">C32</f>
        <v>0</v>
      </c>
      <c r="C2" s="282" t="s">
        <v>2040</v>
      </c>
      <c r="D2" s="282"/>
      <c r="E2" s="2986"/>
      <c r="F2" s="2986"/>
      <c r="G2" s="2986"/>
      <c r="H2" s="2986"/>
      <c r="I2" s="2986"/>
      <c r="J2" s="2986"/>
      <c r="K2" s="2986"/>
    </row>
    <row r="3" spans="1:33" ht="18" customHeight="1" thickBot="1" x14ac:dyDescent="0.25">
      <c r="A3" s="209" t="s">
        <v>1909</v>
      </c>
      <c r="B3" s="210">
        <f ca="1">ROUND(B2*10000/IF(C1="",'数据-汇总表'!E3,INDIRECT("'数据-取费表'!K"&amp;$K$1)),0)</f>
        <v>0</v>
      </c>
      <c r="C3" s="282" t="s">
        <v>2041</v>
      </c>
      <c r="D3" s="282"/>
      <c r="E3" s="2986"/>
      <c r="F3" s="2986"/>
      <c r="G3" s="2986"/>
      <c r="H3" s="2986"/>
      <c r="I3" s="2986"/>
      <c r="J3" s="2986"/>
      <c r="K3" s="2986"/>
    </row>
    <row r="4" spans="1:33" s="873" customFormat="1" ht="16.5" customHeight="1" x14ac:dyDescent="0.2">
      <c r="A4" s="870" t="s">
        <v>2042</v>
      </c>
      <c r="B4" s="871"/>
      <c r="C4" s="913">
        <f>SUM(C8:K8)</f>
        <v>0</v>
      </c>
      <c r="D4" s="871"/>
      <c r="E4" s="871"/>
      <c r="F4" s="871"/>
      <c r="G4" s="871"/>
      <c r="H4" s="871"/>
      <c r="I4" s="871"/>
      <c r="J4" s="871"/>
      <c r="K4" s="872"/>
    </row>
    <row r="5" spans="1:33" s="877" customFormat="1" ht="28" x14ac:dyDescent="0.2">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x14ac:dyDescent="0.2">
      <c r="A6" s="878" t="s">
        <v>621</v>
      </c>
      <c r="B6" s="136"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x14ac:dyDescent="0.2">
      <c r="A7" s="878"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x14ac:dyDescent="0.25">
      <c r="A8" s="1997" t="s">
        <v>2051</v>
      </c>
      <c r="B8" s="169"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x14ac:dyDescent="0.2">
      <c r="A9" s="870" t="s">
        <v>2053</v>
      </c>
      <c r="B9" s="871"/>
      <c r="C9" s="871"/>
      <c r="D9" s="871"/>
      <c r="E9" s="871"/>
      <c r="F9" s="871"/>
      <c r="G9" s="871"/>
      <c r="H9" s="871"/>
      <c r="I9" s="871"/>
      <c r="J9" s="871"/>
      <c r="K9" s="872"/>
    </row>
    <row r="10" spans="1:33" s="887" customFormat="1" ht="13.5" customHeight="1" x14ac:dyDescent="0.2">
      <c r="A10" s="874" t="s">
        <v>2054</v>
      </c>
      <c r="B10" s="8" t="s">
        <v>2055</v>
      </c>
      <c r="C10" s="883" t="s">
        <v>2056</v>
      </c>
      <c r="D10" s="884" t="s">
        <v>2057</v>
      </c>
      <c r="E10" s="884" t="s">
        <v>2058</v>
      </c>
      <c r="F10" s="884" t="s">
        <v>2059</v>
      </c>
      <c r="G10" s="8"/>
      <c r="H10" s="885"/>
      <c r="I10" s="885"/>
      <c r="J10" s="885"/>
      <c r="K10" s="886"/>
    </row>
    <row r="11" spans="1:33" s="892" customFormat="1" ht="13.5" customHeight="1" x14ac:dyDescent="0.2">
      <c r="A11" s="888" t="s">
        <v>1060</v>
      </c>
      <c r="B11" s="889" t="s">
        <v>2060</v>
      </c>
      <c r="C11" s="285">
        <f ca="1">IF(C1="",'数据-取费表'!P16,INDIRECT("'数据-取费表'!p"&amp;$K$1)+INDIRECT("'数据-取费表'!ar"&amp;$K$1))</f>
        <v>0</v>
      </c>
      <c r="D11" s="890"/>
      <c r="E11" s="335"/>
      <c r="F11" s="891">
        <f ca="1">1-IF('数据-取费表'!B24=0,1,IF(C1="",'数据-取费表'!N16,INDIRECT("'数据-取费表'!n"&amp;$K$1)))</f>
        <v>0</v>
      </c>
      <c r="G11" s="8"/>
      <c r="H11" s="885"/>
      <c r="I11" s="885"/>
      <c r="J11" s="885"/>
      <c r="K11" s="886"/>
    </row>
    <row r="12" spans="1:33" s="892" customFormat="1" ht="13.5" customHeight="1" x14ac:dyDescent="0.2">
      <c r="A12" s="888" t="s">
        <v>1061</v>
      </c>
      <c r="B12" s="889" t="s">
        <v>2061</v>
      </c>
      <c r="C12" s="24">
        <f ca="1">ROUND(C11*F12,0)</f>
        <v>0</v>
      </c>
      <c r="D12" s="890"/>
      <c r="E12" s="335"/>
      <c r="F12" s="893">
        <f>'数据-取费表'!B33</f>
        <v>0.03</v>
      </c>
      <c r="G12" s="8" t="s">
        <v>2062</v>
      </c>
      <c r="H12" s="885"/>
      <c r="I12" s="885"/>
      <c r="J12" s="885"/>
      <c r="K12" s="886"/>
    </row>
    <row r="13" spans="1:33" s="892" customFormat="1" ht="13.5" customHeight="1" x14ac:dyDescent="0.2">
      <c r="A13" s="888" t="s">
        <v>1062</v>
      </c>
      <c r="B13" s="889" t="s">
        <v>2063</v>
      </c>
      <c r="C13" s="24">
        <f ca="1">ROUND(IF(C1="",SUMIF('数据-取费表'!C:C,"住宅",'数据-取费表'!P:P)*F13,IF(INDIRECT("'数据-取费表'!c"&amp;$K$1)="住宅",INDIRECT("'数据-取费表'!P"&amp;$K$1)*F13,0)),0)</f>
        <v>0</v>
      </c>
      <c r="D13" s="935"/>
      <c r="E13" s="335"/>
      <c r="F13" s="893">
        <f>'数据-取费表'!B34</f>
        <v>0.1</v>
      </c>
      <c r="G13" s="8" t="s">
        <v>2064</v>
      </c>
      <c r="H13" s="885"/>
      <c r="I13" s="885"/>
      <c r="J13" s="885"/>
      <c r="K13" s="886"/>
    </row>
    <row r="14" spans="1:33" s="894" customFormat="1" ht="13.5" customHeight="1" x14ac:dyDescent="0.2">
      <c r="A14" s="888" t="s">
        <v>1063</v>
      </c>
      <c r="B14" s="889" t="s">
        <v>2065</v>
      </c>
      <c r="C14" s="24">
        <f ca="1">ROUND(D14*E14*F11/10000,0)</f>
        <v>0</v>
      </c>
      <c r="D14" s="935">
        <f ca="1">IF(C1="",'数据-汇总表'!E3,INDIRECT("'数据-取费表'!K"&amp;$K$1)+INDIRECT("'数据-取费表'!S"&amp;$K$1))</f>
        <v>58.81</v>
      </c>
      <c r="E14" s="24">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x14ac:dyDescent="0.2">
      <c r="A15" s="888" t="s">
        <v>1064</v>
      </c>
      <c r="B15" s="889" t="s">
        <v>2067</v>
      </c>
      <c r="C15" s="900">
        <f ca="1">ROUND(C11*F15,0)</f>
        <v>0</v>
      </c>
      <c r="D15" s="895"/>
      <c r="E15" s="900"/>
      <c r="F15" s="901">
        <f>'数据-取费表'!B36</f>
        <v>1.4999999999999999E-2</v>
      </c>
      <c r="G15" s="136"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x14ac:dyDescent="0.2">
      <c r="A16" s="888" t="s">
        <v>622</v>
      </c>
      <c r="B16" s="889" t="s">
        <v>2069</v>
      </c>
      <c r="C16" s="900">
        <f ca="1">SUM(C11:C15)</f>
        <v>0</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x14ac:dyDescent="0.2">
      <c r="A17" s="888" t="s">
        <v>623</v>
      </c>
      <c r="B17" s="889" t="s">
        <v>2070</v>
      </c>
      <c r="C17" s="24">
        <f ca="1">ROUND(D17*E17/10000,0)</f>
        <v>0</v>
      </c>
      <c r="D17" s="935">
        <f ca="1">D14</f>
        <v>58.81</v>
      </c>
      <c r="E17" s="24">
        <f>'数据-取费表'!B32</f>
        <v>0</v>
      </c>
      <c r="F17" s="895"/>
      <c r="G17" s="136"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x14ac:dyDescent="0.2">
      <c r="A18" s="888" t="s">
        <v>1065</v>
      </c>
      <c r="B18" s="889" t="s">
        <v>2072</v>
      </c>
      <c r="C18" s="24">
        <f ca="1">C19+C20-IF(C1="",'数据-取费表'!B29,IF(G18="已全部缴纳",C19+C20,H18))</f>
        <v>0</v>
      </c>
      <c r="D18" s="935"/>
      <c r="E18" s="24"/>
      <c r="F18" s="893"/>
      <c r="G18" s="1998"/>
      <c r="H18" s="1301"/>
      <c r="I18" s="1999" t="s">
        <v>2073</v>
      </c>
      <c r="J18" s="896"/>
      <c r="K18" s="897"/>
    </row>
    <row r="19" spans="1:33" s="892" customFormat="1" ht="13.5" customHeight="1" x14ac:dyDescent="0.2">
      <c r="A19" s="888" t="s">
        <v>624</v>
      </c>
      <c r="B19" s="889" t="s">
        <v>2074</v>
      </c>
      <c r="C19" s="24">
        <f ca="1">ROUND(D19*E19/10000,0)</f>
        <v>0</v>
      </c>
      <c r="D19" s="935">
        <f ca="1">IF(C1="",'数据-汇总表'!E5,IF(INDIRECT("'数据-取费表'!c"&amp;$K$1)="住宅",INDIRECT("'数据-取费表'!k"&amp;$K$1),0))</f>
        <v>0</v>
      </c>
      <c r="E19" s="24">
        <f>'数据-取费表'!B27</f>
        <v>0</v>
      </c>
      <c r="F19" s="893"/>
      <c r="G19" s="15"/>
      <c r="H19" s="1303"/>
      <c r="I19" s="898"/>
      <c r="J19" s="898"/>
      <c r="K19" s="899"/>
    </row>
    <row r="20" spans="1:33" s="892" customFormat="1" ht="13.5" customHeight="1" x14ac:dyDescent="0.2">
      <c r="A20" s="888" t="s">
        <v>625</v>
      </c>
      <c r="B20" s="889" t="s">
        <v>2075</v>
      </c>
      <c r="C20" s="24">
        <f ca="1">ROUND(D20*E20/10000,0)</f>
        <v>1</v>
      </c>
      <c r="D20" s="935">
        <f ca="1">IF(C1="",'数据-汇总表'!E6,IF(INDIRECT("'数据-取费表'!c"&amp;$K$1)="住宅",INDIRECT("'数据-取费表'!s"&amp;$K$1),INDIRECT("'数据-取费表'!k"&amp;$K$1)+INDIRECT("'数据-取费表'!s"&amp;$K$1)))</f>
        <v>58.81</v>
      </c>
      <c r="E20" s="24">
        <f>'数据-取费表'!B28</f>
        <v>200</v>
      </c>
      <c r="F20" s="893"/>
      <c r="G20" s="15"/>
      <c r="H20" s="898"/>
      <c r="I20" s="898"/>
      <c r="J20" s="898"/>
      <c r="K20" s="899"/>
    </row>
    <row r="21" spans="1:33" s="892" customFormat="1" ht="13.5" customHeight="1" x14ac:dyDescent="0.2">
      <c r="A21" s="878" t="s">
        <v>621</v>
      </c>
      <c r="B21" s="902" t="s">
        <v>2076</v>
      </c>
      <c r="C21" s="903">
        <f ca="1">C16+C17+C18</f>
        <v>0</v>
      </c>
      <c r="D21" s="904"/>
      <c r="E21" s="287"/>
      <c r="F21" s="287"/>
      <c r="G21" s="136" t="s">
        <v>2077</v>
      </c>
      <c r="H21" s="896"/>
      <c r="I21" s="896"/>
      <c r="J21" s="896"/>
      <c r="K21" s="897"/>
    </row>
    <row r="22" spans="1:33" s="892" customFormat="1" ht="13.5" customHeight="1" x14ac:dyDescent="0.2">
      <c r="A22" s="878" t="s">
        <v>2049</v>
      </c>
      <c r="B22" s="902" t="s">
        <v>2078</v>
      </c>
      <c r="C22" s="903">
        <f ca="1">ROUND(C21*F22,0)</f>
        <v>0</v>
      </c>
      <c r="D22" s="287"/>
      <c r="E22" s="287"/>
      <c r="F22" s="905">
        <f>'数据-取费表'!B37</f>
        <v>0.02</v>
      </c>
      <c r="G22" s="8" t="s">
        <v>2079</v>
      </c>
      <c r="H22" s="885"/>
      <c r="I22" s="885"/>
      <c r="J22" s="885"/>
      <c r="K22" s="886"/>
    </row>
    <row r="23" spans="1:33" s="892" customFormat="1" ht="13.5" customHeight="1" x14ac:dyDescent="0.2">
      <c r="A23" s="878" t="s">
        <v>2051</v>
      </c>
      <c r="B23" s="902" t="s">
        <v>2080</v>
      </c>
      <c r="C23" s="903">
        <f ca="1">ROUND(C4*F23*F11,0)</f>
        <v>0</v>
      </c>
      <c r="D23" s="287"/>
      <c r="E23" s="287"/>
      <c r="F23" s="905">
        <f>'数据-取费表'!B38</f>
        <v>0.02</v>
      </c>
      <c r="G23" s="8" t="s">
        <v>2081</v>
      </c>
      <c r="H23" s="885"/>
      <c r="I23" s="885"/>
      <c r="J23" s="885"/>
      <c r="K23" s="886"/>
    </row>
    <row r="24" spans="1:33" s="892" customFormat="1" ht="13.5" customHeight="1" x14ac:dyDescent="0.2">
      <c r="A24" s="878" t="s">
        <v>2082</v>
      </c>
      <c r="B24" s="902" t="s">
        <v>2083</v>
      </c>
      <c r="C24" s="286">
        <f>ROUND(F24/(1+'数据-取费表'!C42),4)</f>
        <v>2.9000000000000001E-2</v>
      </c>
      <c r="D24" s="287" t="s">
        <v>15</v>
      </c>
      <c r="E24" s="287"/>
      <c r="F24" s="905">
        <f>IF(项目基本情况!B8="出让",0,'数据-取费表'!B48+'数据-取费表'!B49)</f>
        <v>3.0499999999999999E-2</v>
      </c>
      <c r="G24" s="8" t="s">
        <v>2084</v>
      </c>
      <c r="H24" s="907"/>
      <c r="I24" s="907"/>
      <c r="J24" s="907"/>
      <c r="K24" s="908"/>
    </row>
    <row r="25" spans="1:33" s="892" customFormat="1" ht="13.5" customHeight="1" x14ac:dyDescent="0.2">
      <c r="A25" s="878" t="s">
        <v>2085</v>
      </c>
      <c r="B25" s="904" t="s">
        <v>2086</v>
      </c>
      <c r="C25" s="1218">
        <f ca="1">C27</f>
        <v>0</v>
      </c>
      <c r="D25" s="286">
        <f ca="1">C26</f>
        <v>0</v>
      </c>
      <c r="E25" s="288" t="s">
        <v>15</v>
      </c>
      <c r="F25" s="289">
        <f ca="1">'数据-取费表'!B40</f>
        <v>3.6499999999999998E-2</v>
      </c>
      <c r="G25" s="136"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x14ac:dyDescent="0.15">
      <c r="A26" s="888" t="s">
        <v>622</v>
      </c>
      <c r="B26" s="909"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6"/>
      <c r="I26" s="896"/>
      <c r="J26" s="896"/>
      <c r="K26" s="897"/>
    </row>
    <row r="27" spans="1:33" s="910" customFormat="1" ht="13.5" customHeight="1" x14ac:dyDescent="0.15">
      <c r="A27" s="888" t="s">
        <v>623</v>
      </c>
      <c r="B27" s="909" t="s">
        <v>2088</v>
      </c>
      <c r="C27" s="1220">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6"/>
      <c r="I27" s="896"/>
      <c r="J27" s="896"/>
      <c r="K27" s="897"/>
    </row>
    <row r="28" spans="1:33" s="295" customFormat="1" ht="13.5" customHeight="1" x14ac:dyDescent="0.2">
      <c r="A28" s="878" t="s">
        <v>2089</v>
      </c>
      <c r="B28" s="2001" t="s">
        <v>2090</v>
      </c>
      <c r="C28" s="293">
        <f ca="1">C30</f>
        <v>0</v>
      </c>
      <c r="D28" s="286">
        <f ca="1">C29</f>
        <v>0</v>
      </c>
      <c r="E28" s="288" t="s">
        <v>15</v>
      </c>
      <c r="F28" s="294">
        <f ca="1">IF(C1="",'数据-取费表'!Q16,INDIRECT("'数据-取费表'!q"&amp;$K$1))</f>
        <v>0.25</v>
      </c>
      <c r="G28" s="906"/>
      <c r="H28" s="907"/>
      <c r="I28" s="907"/>
      <c r="J28" s="907"/>
      <c r="K28" s="908"/>
    </row>
    <row r="29" spans="1:33" s="297" customFormat="1" ht="13.5" customHeight="1" x14ac:dyDescent="0.2">
      <c r="A29" s="888" t="s">
        <v>622</v>
      </c>
      <c r="B29" s="911" t="s">
        <v>2091</v>
      </c>
      <c r="C29" s="290">
        <f ca="1">ROUND((1+C24)*F28*'数据-取费表'!B24/'数据-取费表'!B20,4)</f>
        <v>0</v>
      </c>
      <c r="D29" s="290"/>
      <c r="E29" s="291"/>
      <c r="F29" s="296"/>
      <c r="G29" s="136" t="s">
        <v>2092</v>
      </c>
      <c r="H29" s="896"/>
      <c r="I29" s="896"/>
      <c r="J29" s="896"/>
      <c r="K29" s="897"/>
    </row>
    <row r="30" spans="1:33" s="297" customFormat="1" ht="13.5" customHeight="1" x14ac:dyDescent="0.2">
      <c r="A30" s="888" t="s">
        <v>623</v>
      </c>
      <c r="B30" s="911" t="s">
        <v>2093</v>
      </c>
      <c r="C30" s="298">
        <f ca="1">ROUND((C21+C22+C23)*F28,0)</f>
        <v>0</v>
      </c>
      <c r="D30" s="290"/>
      <c r="E30" s="291"/>
      <c r="F30" s="296"/>
      <c r="G30" s="136"/>
      <c r="H30" s="896"/>
      <c r="I30" s="896"/>
      <c r="J30" s="896"/>
      <c r="K30" s="897"/>
    </row>
    <row r="31" spans="1:33" s="892" customFormat="1" ht="13.5" customHeight="1" thickBot="1" x14ac:dyDescent="0.25">
      <c r="A31" s="2002" t="s">
        <v>2094</v>
      </c>
      <c r="B31" s="922" t="s">
        <v>2095</v>
      </c>
      <c r="C31" s="923">
        <f>ROUND(C4*F31/(1+'数据-取费表'!C42),0)</f>
        <v>0</v>
      </c>
      <c r="D31" s="924"/>
      <c r="E31" s="925"/>
      <c r="F31" s="926">
        <f>'数据-取费表'!B41</f>
        <v>5.6000000000000001E-2</v>
      </c>
      <c r="G31" s="927" t="s">
        <v>2096</v>
      </c>
      <c r="H31" s="928"/>
      <c r="I31" s="928"/>
      <c r="J31" s="928"/>
      <c r="K31" s="929"/>
    </row>
    <row r="32" spans="1:33" s="887" customFormat="1" ht="13.5" customHeight="1" thickBot="1" x14ac:dyDescent="0.25">
      <c r="A32" s="917" t="s">
        <v>2097</v>
      </c>
      <c r="B32" s="918"/>
      <c r="C32" s="919">
        <f ca="1">ROUND((C4-C21-C22-C23-C25-C28-C31)/(1+C24+D25+D28),0)</f>
        <v>0</v>
      </c>
      <c r="D32" s="918"/>
      <c r="E32" s="918"/>
      <c r="F32" s="918"/>
      <c r="G32" s="920" t="s">
        <v>2098</v>
      </c>
      <c r="H32" s="918"/>
      <c r="I32" s="918"/>
      <c r="J32" s="918"/>
      <c r="K32" s="921"/>
    </row>
    <row r="34" ht="12.75" customHeight="1" x14ac:dyDescent="0.2"/>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6"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view="pageBreakPreview" zoomScale="70" zoomScaleNormal="70" zoomScaleSheetLayoutView="70" workbookViewId="0">
      <selection activeCell="J56" sqref="J56"/>
    </sheetView>
  </sheetViews>
  <sheetFormatPr baseColWidth="10" defaultColWidth="9" defaultRowHeight="13" x14ac:dyDescent="0.2"/>
  <cols>
    <col min="1" max="1" width="9" style="264" customWidth="1"/>
    <col min="2" max="2" width="20.6640625" style="662" customWidth="1"/>
    <col min="3" max="3" width="11.83203125" style="662" customWidth="1"/>
    <col min="4" max="4" width="40.5" style="264" customWidth="1"/>
    <col min="5" max="5" width="15.6640625" style="264" customWidth="1"/>
    <col min="6" max="6" width="10.6640625" style="264" customWidth="1"/>
    <col min="7" max="7" width="4.83203125" style="264" customWidth="1"/>
    <col min="8" max="8" width="8.5" style="264" customWidth="1"/>
    <col min="9" max="9" width="21.1640625" style="264" customWidth="1"/>
    <col min="10" max="10" width="12.1640625" style="264" customWidth="1"/>
    <col min="11" max="11" width="40.1640625" style="1602" customWidth="1"/>
    <col min="12" max="12" width="16.33203125" style="264" customWidth="1"/>
    <col min="13" max="13" width="13" style="264" customWidth="1"/>
    <col min="14" max="14" width="13.6640625" style="1518" customWidth="1"/>
    <col min="15" max="15" width="5.1640625" style="1518" customWidth="1"/>
    <col min="16" max="16" width="25.6640625" style="1518" customWidth="1"/>
    <col min="17" max="17" width="13.6640625" style="1518" customWidth="1"/>
    <col min="18" max="18" width="20.5" style="1518" customWidth="1"/>
    <col min="19" max="19" width="13.1640625" style="1518" customWidth="1"/>
    <col min="20" max="37" width="9" style="1518"/>
    <col min="38" max="16384" width="9" style="264"/>
  </cols>
  <sheetData>
    <row r="1" spans="1:37" s="299" customFormat="1" ht="20" x14ac:dyDescent="0.2">
      <c r="A1" s="1509" t="s">
        <v>1313</v>
      </c>
      <c r="B1" s="721"/>
      <c r="C1" s="1513" t="s">
        <v>4711</v>
      </c>
      <c r="D1" s="1496" t="s">
        <v>70</v>
      </c>
      <c r="E1" s="1497" t="s">
        <v>1111</v>
      </c>
      <c r="F1" s="1173">
        <f ca="1">J53</f>
        <v>21.83</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x14ac:dyDescent="0.15">
      <c r="A2" s="1519" t="s">
        <v>1314</v>
      </c>
      <c r="B2" s="1520">
        <f ca="1">ROUND(D2/10000,0)</f>
        <v>268</v>
      </c>
      <c r="C2" s="1521" t="s">
        <v>1315</v>
      </c>
      <c r="D2" s="1605">
        <f ca="1">C40+J29+L46</f>
        <v>2682299</v>
      </c>
      <c r="E2" s="1522" t="s">
        <v>1316</v>
      </c>
      <c r="F2" s="1523"/>
      <c r="G2" s="2884"/>
      <c r="H2" s="2873"/>
      <c r="I2" s="2873"/>
      <c r="J2" s="2873"/>
      <c r="K2" s="2874"/>
      <c r="L2" s="2873"/>
      <c r="M2" s="2873"/>
    </row>
    <row r="3" spans="1:37" ht="18" customHeight="1" thickBot="1" x14ac:dyDescent="0.25">
      <c r="A3" s="1524" t="s">
        <v>1317</v>
      </c>
      <c r="B3" s="1525">
        <f ca="1">IF(ISERROR(D2/F43),0,ROUND(D2/F43,0))</f>
        <v>45610</v>
      </c>
      <c r="C3" s="1521" t="s">
        <v>1318</v>
      </c>
      <c r="D3" s="1521"/>
      <c r="E3" s="1522"/>
      <c r="F3" s="1523"/>
      <c r="G3" s="2884"/>
      <c r="H3" s="691" t="s">
        <v>1312</v>
      </c>
      <c r="I3" s="1516"/>
      <c r="J3" s="1516"/>
      <c r="K3" s="1517"/>
      <c r="L3" s="1516"/>
      <c r="M3" s="1516"/>
    </row>
    <row r="4" spans="1:37" ht="18" customHeight="1" x14ac:dyDescent="0.2">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x14ac:dyDescent="0.2">
      <c r="A5" s="305">
        <v>1</v>
      </c>
      <c r="B5" s="306" t="s">
        <v>1324</v>
      </c>
      <c r="C5" s="1182">
        <f ca="1">C6+C10+C12</f>
        <v>219352</v>
      </c>
      <c r="D5" s="1498" t="s">
        <v>1325</v>
      </c>
      <c r="E5" s="1183"/>
      <c r="F5" s="1184"/>
      <c r="G5" s="1518"/>
      <c r="H5" s="305">
        <v>1</v>
      </c>
      <c r="I5" s="306" t="s">
        <v>1324</v>
      </c>
      <c r="J5" s="1182">
        <f ca="1">J6+J10+J12</f>
        <v>0</v>
      </c>
      <c r="K5" s="1498" t="s">
        <v>1325</v>
      </c>
      <c r="L5" s="1183"/>
      <c r="M5" s="1184"/>
    </row>
    <row r="6" spans="1:37" ht="18" customHeight="1" x14ac:dyDescent="0.2">
      <c r="A6" s="1181" t="s">
        <v>822</v>
      </c>
      <c r="B6" s="3634" t="s">
        <v>1127</v>
      </c>
      <c r="C6" s="1186">
        <f ca="1">ROUND(F6*F8*F7*(1-F9),0)</f>
        <v>219078</v>
      </c>
      <c r="D6" s="160" t="s">
        <v>2606</v>
      </c>
      <c r="E6" s="308" t="s">
        <v>1129</v>
      </c>
      <c r="F6" s="309">
        <f ca="1">INDIRECT("'数据-取费表'!u"&amp;$G$1)</f>
        <v>11.34</v>
      </c>
      <c r="G6" s="1518"/>
      <c r="H6" s="1181" t="s">
        <v>822</v>
      </c>
      <c r="I6" s="3634" t="s">
        <v>1127</v>
      </c>
      <c r="J6" s="307">
        <f ca="1">ROUND(M6*M8*M7*(1-M9),0)</f>
        <v>0</v>
      </c>
      <c r="K6" s="1510" t="s">
        <v>2607</v>
      </c>
      <c r="L6" s="308" t="s">
        <v>1129</v>
      </c>
      <c r="M6" s="309">
        <f ca="1">INDIRECT("'数据-取费表'!z"&amp;$G$1)</f>
        <v>0</v>
      </c>
    </row>
    <row r="7" spans="1:37" ht="18" customHeight="1" x14ac:dyDescent="0.2">
      <c r="A7" s="1185"/>
      <c r="B7" s="3635"/>
      <c r="C7" s="1187"/>
      <c r="D7" s="313"/>
      <c r="E7" s="1188" t="s">
        <v>1130</v>
      </c>
      <c r="F7" s="309">
        <f ca="1">IF(INDIRECT("'数据-取费表'!ah"&amp;$G$1)="",INDIRECT("'数据-取费表'!k"&amp;$G$1),INDIRECT("'数据-取费表'!ah"&amp;$G$1))</f>
        <v>58.81</v>
      </c>
      <c r="G7" s="1518"/>
      <c r="H7" s="310"/>
      <c r="I7" s="3635"/>
      <c r="J7" s="312"/>
      <c r="K7" s="313"/>
      <c r="L7" s="308" t="s">
        <v>1130</v>
      </c>
      <c r="M7" s="309">
        <f ca="1">F7</f>
        <v>58.81</v>
      </c>
    </row>
    <row r="8" spans="1:37" ht="18" customHeight="1" x14ac:dyDescent="0.2">
      <c r="A8" s="310"/>
      <c r="B8" s="3635"/>
      <c r="C8" s="312"/>
      <c r="D8" s="313"/>
      <c r="E8" s="308" t="s">
        <v>1131</v>
      </c>
      <c r="F8" s="309">
        <f ca="1">INDIRECT("'数据-取费表'!ai"&amp;$G$1)</f>
        <v>365</v>
      </c>
      <c r="G8" s="1518"/>
      <c r="H8" s="310"/>
      <c r="I8" s="3635"/>
      <c r="J8" s="312"/>
      <c r="K8" s="313"/>
      <c r="L8" s="308" t="s">
        <v>1131</v>
      </c>
      <c r="M8" s="309">
        <f ca="1">INDIRECT("'数据-取费表'!ai"&amp;$G$1)</f>
        <v>365</v>
      </c>
    </row>
    <row r="9" spans="1:37" ht="18" customHeight="1" x14ac:dyDescent="0.2">
      <c r="A9" s="310"/>
      <c r="B9" s="3636"/>
      <c r="C9" s="312"/>
      <c r="D9" s="313"/>
      <c r="E9" s="308" t="s">
        <v>1132</v>
      </c>
      <c r="F9" s="318">
        <f ca="1">INDIRECT("'数据-取费表'!w"&amp;$G$1)</f>
        <v>0.1</v>
      </c>
      <c r="G9" s="1518"/>
      <c r="H9" s="310"/>
      <c r="I9" s="3636"/>
      <c r="J9" s="312"/>
      <c r="K9" s="313"/>
      <c r="L9" s="319" t="s">
        <v>1132</v>
      </c>
      <c r="M9" s="320">
        <f ca="1">INDIRECT("'数据-取费表'!ab"&amp;$G$1)</f>
        <v>0</v>
      </c>
    </row>
    <row r="10" spans="1:37" ht="18" customHeight="1" x14ac:dyDescent="0.2">
      <c r="A10" s="1181" t="s">
        <v>826</v>
      </c>
      <c r="B10" s="1499" t="s">
        <v>1133</v>
      </c>
      <c r="C10" s="322">
        <f ca="1">ROUND(IF(F10="押一",C6/12*F11,IF(F10="押二",C6/12*2*F11,IF(F10="押三",C6/12*3*F11,C11*F11))),0)</f>
        <v>274</v>
      </c>
      <c r="D10" s="1500" t="s">
        <v>2616</v>
      </c>
      <c r="E10" s="319" t="s">
        <v>1134</v>
      </c>
      <c r="F10" s="1228" t="s">
        <v>4715</v>
      </c>
      <c r="G10" s="1518"/>
      <c r="H10" s="1181" t="s">
        <v>826</v>
      </c>
      <c r="I10" s="1499" t="s">
        <v>1133</v>
      </c>
      <c r="J10" s="307">
        <f ca="1">ROUND(IF(M10="押一",J6/12*M11,IF(M10="押二",J6/12*2*M11,IF(M10="押三",J6/12*3*M11,J11*M11))),0)</f>
        <v>0</v>
      </c>
      <c r="K10" s="1511" t="s">
        <v>2618</v>
      </c>
      <c r="L10" s="319" t="s">
        <v>1134</v>
      </c>
      <c r="M10" s="1228" t="s">
        <v>4715</v>
      </c>
    </row>
    <row r="11" spans="1:37" ht="18" customHeight="1" x14ac:dyDescent="0.2">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x14ac:dyDescent="0.25">
      <c r="A12" s="1195" t="s">
        <v>862</v>
      </c>
      <c r="B12" s="1503" t="s">
        <v>1137</v>
      </c>
      <c r="C12" s="1196"/>
      <c r="D12" s="1197"/>
      <c r="E12" s="1202"/>
      <c r="F12" s="1198"/>
      <c r="G12" s="1518"/>
      <c r="H12" s="1195" t="s">
        <v>862</v>
      </c>
      <c r="I12" s="1503" t="s">
        <v>1137</v>
      </c>
      <c r="J12" s="1196"/>
      <c r="K12" s="1210"/>
      <c r="L12" s="1202"/>
      <c r="M12" s="1211"/>
    </row>
    <row r="13" spans="1:37" ht="18" customHeight="1" thickTop="1" x14ac:dyDescent="0.2">
      <c r="A13" s="1191">
        <v>2</v>
      </c>
      <c r="B13" s="1192" t="s">
        <v>1138</v>
      </c>
      <c r="C13" s="316">
        <f ca="1">ROUND(C29*F13,0)</f>
        <v>223557</v>
      </c>
      <c r="D13" s="1193" t="s">
        <v>1139</v>
      </c>
      <c r="E13" s="1193" t="s">
        <v>1140</v>
      </c>
      <c r="F13" s="1194">
        <f ca="1">INDIRECT("'数据-取费表'!y"&amp;$G$1)</f>
        <v>0.8</v>
      </c>
      <c r="G13" s="1518"/>
      <c r="H13" s="1191">
        <v>2</v>
      </c>
      <c r="I13" s="1192" t="s">
        <v>1138</v>
      </c>
      <c r="J13" s="1180">
        <f ca="1">ROUND(J14*J15,0)</f>
        <v>223557</v>
      </c>
      <c r="K13" s="1199" t="s">
        <v>1139</v>
      </c>
      <c r="L13" s="1526"/>
      <c r="M13" s="1527"/>
    </row>
    <row r="14" spans="1:37" ht="18" customHeight="1" x14ac:dyDescent="0.2">
      <c r="A14" s="1093" t="s">
        <v>821</v>
      </c>
      <c r="B14" s="308" t="s">
        <v>1141</v>
      </c>
      <c r="C14" s="324">
        <f ca="1">ROUND(INDIRECT("'数据-取费表'!l"&amp;$G$1)*F43+'数据-取费表'!L14*INDIRECT("'数据-取费表'!S"&amp;$G$1),0)</f>
        <v>176430</v>
      </c>
      <c r="D14" s="1479" t="s">
        <v>1142</v>
      </c>
      <c r="E14" s="1476"/>
      <c r="F14" s="325"/>
      <c r="G14" s="1518"/>
      <c r="H14" s="1093" t="s">
        <v>822</v>
      </c>
      <c r="I14" s="308" t="s">
        <v>1143</v>
      </c>
      <c r="J14" s="24">
        <f ca="1">C29</f>
        <v>279446</v>
      </c>
      <c r="K14" s="15"/>
      <c r="L14" s="896"/>
      <c r="M14" s="897"/>
    </row>
    <row r="15" spans="1:37" s="1531" customFormat="1" ht="18" customHeight="1" thickBot="1" x14ac:dyDescent="0.25">
      <c r="A15" s="1093" t="s">
        <v>823</v>
      </c>
      <c r="B15" s="308" t="s">
        <v>1144</v>
      </c>
      <c r="C15" s="24">
        <f ca="1">ROUND(C14*F15,0)</f>
        <v>5293</v>
      </c>
      <c r="D15" s="326" t="s">
        <v>1145</v>
      </c>
      <c r="E15" s="326" t="s">
        <v>1146</v>
      </c>
      <c r="F15" s="327">
        <f>'数据-取费表'!B33</f>
        <v>0.03</v>
      </c>
      <c r="G15" s="1530"/>
      <c r="H15" s="1201" t="s">
        <v>826</v>
      </c>
      <c r="I15" s="1202" t="s">
        <v>1140</v>
      </c>
      <c r="J15" s="1211">
        <f ca="1">INDIRECT("'数据-取费表'!ad"&amp;$G$1)</f>
        <v>0.8</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x14ac:dyDescent="0.2">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6036</v>
      </c>
      <c r="K16" s="1199" t="s">
        <v>1149</v>
      </c>
      <c r="L16" s="1200"/>
      <c r="M16" s="1184"/>
    </row>
    <row r="17" spans="1:37" s="1531" customFormat="1" ht="18" customHeight="1" x14ac:dyDescent="0.2">
      <c r="A17" s="1093" t="s">
        <v>1114</v>
      </c>
      <c r="B17" s="308" t="s">
        <v>1150</v>
      </c>
      <c r="C17" s="24">
        <f ca="1">ROUND(F17*(F43+INDIRECT("'数据-取费表'!S"&amp;$G$1)),0)</f>
        <v>11762</v>
      </c>
      <c r="D17" s="308" t="s">
        <v>1151</v>
      </c>
      <c r="E17" s="308" t="s">
        <v>1152</v>
      </c>
      <c r="F17" s="26">
        <f>'数据-取费表'!B35</f>
        <v>200</v>
      </c>
      <c r="G17" s="1530"/>
      <c r="H17" s="1093"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x14ac:dyDescent="0.2">
      <c r="A18" s="1093" t="s">
        <v>1115</v>
      </c>
      <c r="B18" s="308" t="s">
        <v>1156</v>
      </c>
      <c r="C18" s="24">
        <f ca="1">ROUND(C14*F18,0)</f>
        <v>2646</v>
      </c>
      <c r="D18" s="308" t="s">
        <v>1145</v>
      </c>
      <c r="E18" s="308" t="s">
        <v>1146</v>
      </c>
      <c r="F18" s="328">
        <f>'数据-取费表'!B36</f>
        <v>1.4999999999999999E-2</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x14ac:dyDescent="0.2">
      <c r="A19" s="1093" t="s">
        <v>822</v>
      </c>
      <c r="B19" s="308" t="s">
        <v>1159</v>
      </c>
      <c r="C19" s="24">
        <f ca="1">SUM(C14:C18)</f>
        <v>196131</v>
      </c>
      <c r="D19" s="136" t="s">
        <v>1160</v>
      </c>
      <c r="E19" s="1494"/>
      <c r="F19" s="26"/>
      <c r="G19" s="1518"/>
      <c r="H19" s="1093" t="s">
        <v>823</v>
      </c>
      <c r="I19" s="308" t="s">
        <v>1161</v>
      </c>
      <c r="J19" s="24">
        <f ca="1">IF(K19="按租金收入计税",ROUND(J6*M19/(1+'数据-取费表'!C42),0),ROUND(C29*M19*0.7,0))</f>
        <v>0</v>
      </c>
      <c r="K19" s="1504" t="s">
        <v>4716</v>
      </c>
      <c r="L19" s="308" t="s">
        <v>1146</v>
      </c>
      <c r="M19" s="328">
        <f>IF(K19="按租金收入计税",'数据-取费表'!B51,'数据-取费表'!B50)</f>
        <v>0.12</v>
      </c>
    </row>
    <row r="20" spans="1:37" s="1531" customFormat="1" ht="18" customHeight="1" x14ac:dyDescent="0.2">
      <c r="A20" s="1093" t="s">
        <v>826</v>
      </c>
      <c r="B20" s="308" t="s">
        <v>1163</v>
      </c>
      <c r="C20" s="24">
        <f ca="1">ROUND(C19*F20,0)</f>
        <v>3923</v>
      </c>
      <c r="D20" s="329" t="s">
        <v>1164</v>
      </c>
      <c r="E20" s="308" t="s">
        <v>1146</v>
      </c>
      <c r="F20" s="328">
        <f>'数据-取费表'!B37</f>
        <v>0.02</v>
      </c>
      <c r="G20" s="1530"/>
      <c r="H20" s="1093" t="s">
        <v>1113</v>
      </c>
      <c r="I20" s="160" t="s">
        <v>1165</v>
      </c>
      <c r="J20" s="25">
        <f ca="1">ROUND(M20*M21,0)</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x14ac:dyDescent="0.2">
      <c r="A21" s="1093"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x14ac:dyDescent="0.2">
      <c r="A22" s="1093" t="s">
        <v>1116</v>
      </c>
      <c r="B22" s="308" t="s">
        <v>1172</v>
      </c>
      <c r="C22" s="24"/>
      <c r="D22" s="136" t="str">
        <f>IF(F23&lt;=1,"单利计息。","复利计息。")&amp;"建造成本、管理费用、销售费用产生的利息。"</f>
        <v>复利计息。建造成本、管理费用、销售费用产生的利息。</v>
      </c>
      <c r="E22" s="1494"/>
      <c r="F22" s="26"/>
      <c r="G22" s="1518"/>
      <c r="H22" s="1093" t="s">
        <v>826</v>
      </c>
      <c r="I22" s="308" t="s">
        <v>1173</v>
      </c>
      <c r="J22" s="24">
        <f ca="1">ROUND(J14*M22,0)</f>
        <v>5589</v>
      </c>
      <c r="K22" s="1478" t="s">
        <v>1174</v>
      </c>
      <c r="L22" s="308" t="s">
        <v>1146</v>
      </c>
      <c r="M22" s="334">
        <f ca="1">INDIRECT("'数据-取费表'!Ak"&amp;$G$1)</f>
        <v>0.02</v>
      </c>
    </row>
    <row r="23" spans="1:37" s="1531" customFormat="1" ht="18" customHeight="1" x14ac:dyDescent="0.2">
      <c r="A23" s="1093" t="s">
        <v>821</v>
      </c>
      <c r="B23" s="308" t="s">
        <v>1175</v>
      </c>
      <c r="C23" s="24">
        <f ca="1">IF('数据-取费表'!B22&lt;=1,ROUND(C19*F24*F23/2,0)+ROUND(C20*F24*F23/2,0),ROUND(C19*(POWER((1+F24),F23/2)-1),0)+ROUND(C20*(POWER((1+F24),F23/2)-1),0))</f>
        <v>7302</v>
      </c>
      <c r="D23" s="335" t="str">
        <f>IF(F23&lt;=1,"(建造成本+管理费用)×利率×(建设周期÷2)","(建造成本+管理费用)×((1+利率)^(建设周期÷2)-1)")</f>
        <v>(建造成本+管理费用)×((1+利率)^(建设周期÷2)-1)</v>
      </c>
      <c r="E23" s="308" t="s">
        <v>1176</v>
      </c>
      <c r="F23" s="331">
        <f>'数据-取费表'!B20</f>
        <v>2</v>
      </c>
      <c r="G23" s="1530"/>
      <c r="H23" s="1093" t="s">
        <v>862</v>
      </c>
      <c r="I23" s="308" t="s">
        <v>1177</v>
      </c>
      <c r="J23" s="24">
        <f ca="1">ROUND(J13*M23,0)</f>
        <v>447</v>
      </c>
      <c r="K23" s="1478" t="s">
        <v>1178</v>
      </c>
      <c r="L23" s="308" t="s">
        <v>1179</v>
      </c>
      <c r="M23" s="336">
        <f ca="1">INDIRECT("'数据-取费表'!Al"&amp;$G$1)</f>
        <v>2E-3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x14ac:dyDescent="0.25">
      <c r="A24" s="1093" t="s">
        <v>1180</v>
      </c>
      <c r="B24" s="308" t="s">
        <v>1181</v>
      </c>
      <c r="C24" s="24">
        <f ca="1">ROUND(IF('数据-取费表'!B22&lt;=1,F21*F24*F23/2,F21*(POWER((1+F24),F23/2)-1)),4)</f>
        <v>6.9999999999999999E-4</v>
      </c>
      <c r="D24" s="335" t="str">
        <f>IF(F23&lt;=1,"销售费用×利率×(建设周期÷2)","销售费用×((1+利率)^(建设周期÷2)-1)")</f>
        <v>销售费用×((1+利率)^(建设周期÷2)-1)</v>
      </c>
      <c r="E24" s="308" t="s">
        <v>1182</v>
      </c>
      <c r="F24" s="337">
        <f ca="1">'数据-取费表'!B40</f>
        <v>3.6499999999999998E-2</v>
      </c>
      <c r="G24" s="1530"/>
      <c r="H24" s="1201" t="s">
        <v>1117</v>
      </c>
      <c r="I24" s="1202" t="s">
        <v>1163</v>
      </c>
      <c r="J24" s="1203">
        <f ca="1">ROUND(J5*M24,0)</f>
        <v>0</v>
      </c>
      <c r="K24" s="1204" t="s">
        <v>1183</v>
      </c>
      <c r="L24" s="1202" t="s">
        <v>1179</v>
      </c>
      <c r="M24" s="1198">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x14ac:dyDescent="0.2">
      <c r="A25" s="1093" t="s">
        <v>1184</v>
      </c>
      <c r="B25" s="308" t="s">
        <v>1185</v>
      </c>
      <c r="C25" s="24"/>
      <c r="D25" s="136" t="s">
        <v>1186</v>
      </c>
      <c r="E25" s="1494"/>
      <c r="F25" s="26"/>
      <c r="G25" s="1518"/>
      <c r="H25" s="1191" t="s">
        <v>818</v>
      </c>
      <c r="I25" s="1206" t="s">
        <v>1187</v>
      </c>
      <c r="J25" s="316">
        <f ca="1">J5-J16</f>
        <v>-6036</v>
      </c>
      <c r="K25" s="1207" t="s">
        <v>1188</v>
      </c>
      <c r="L25" s="1208"/>
      <c r="M25" s="1209"/>
    </row>
    <row r="26" spans="1:37" ht="18" customHeight="1" x14ac:dyDescent="0.2">
      <c r="A26" s="1093" t="s">
        <v>821</v>
      </c>
      <c r="B26" s="308" t="s">
        <v>1189</v>
      </c>
      <c r="C26" s="24">
        <f ca="1">ROUND((C19+C20)*F26,0)</f>
        <v>50014</v>
      </c>
      <c r="D26" s="329" t="s">
        <v>1190</v>
      </c>
      <c r="E26" s="319" t="s">
        <v>1191</v>
      </c>
      <c r="F26" s="318">
        <f ca="1">INDIRECT("'数据-取费表'!q"&amp;$G$1)</f>
        <v>0.25</v>
      </c>
      <c r="G26" s="1518"/>
      <c r="H26" s="305" t="s">
        <v>819</v>
      </c>
      <c r="I26" s="306" t="s">
        <v>1192</v>
      </c>
      <c r="J26" s="307">
        <f ca="1">IF(J5&lt;&gt;0,ROUND(J25*(1-((1+M28)/(1+M26))^M27)/(M26-M28),0),0)</f>
        <v>0</v>
      </c>
      <c r="K26" s="330" t="s">
        <v>1193</v>
      </c>
      <c r="L26" s="308" t="s">
        <v>1194</v>
      </c>
      <c r="M26" s="318">
        <f ca="1">INDIRECT("'数据-取费表'!I"&amp;$G$1)</f>
        <v>5.5E-2</v>
      </c>
    </row>
    <row r="27" spans="1:37" ht="18" customHeight="1" x14ac:dyDescent="0.2">
      <c r="A27" s="1093" t="s">
        <v>823</v>
      </c>
      <c r="B27" s="308" t="s">
        <v>1195</v>
      </c>
      <c r="C27" s="24">
        <f ca="1">ROUND(F21*F26,4)</f>
        <v>5.0000000000000001E-3</v>
      </c>
      <c r="D27" s="329" t="s">
        <v>1196</v>
      </c>
      <c r="E27" s="326"/>
      <c r="F27" s="327"/>
      <c r="G27" s="1518"/>
      <c r="H27" s="310"/>
      <c r="I27" s="311"/>
      <c r="J27" s="312"/>
      <c r="K27" s="338" t="s">
        <v>1197</v>
      </c>
      <c r="L27" s="308" t="s">
        <v>1198</v>
      </c>
      <c r="M27" s="339">
        <f ca="1">INDIRECT("'数据-取费表'!ag"&amp;$G$1)</f>
        <v>21.83</v>
      </c>
    </row>
    <row r="28" spans="1:37" s="1531" customFormat="1" ht="18" customHeight="1" x14ac:dyDescent="0.2">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x14ac:dyDescent="0.25">
      <c r="A29" s="1201" t="s">
        <v>825</v>
      </c>
      <c r="B29" s="1202" t="s">
        <v>1202</v>
      </c>
      <c r="C29" s="1203">
        <f ca="1">ROUND((C19+C20+C23+C26)/(1-F21-C24-C27-C28),0)</f>
        <v>279446</v>
      </c>
      <c r="D29" s="1204"/>
      <c r="E29" s="1202"/>
      <c r="F29" s="1205"/>
      <c r="G29" s="1530"/>
      <c r="H29" s="340" t="s">
        <v>820</v>
      </c>
      <c r="I29" s="341" t="s">
        <v>1203</v>
      </c>
      <c r="J29" s="342">
        <f ca="1">ROUND(J26/(1+F40)^F41,0)</f>
        <v>0</v>
      </c>
      <c r="K29" s="343" t="s">
        <v>1204</v>
      </c>
      <c r="L29" s="344"/>
      <c r="M29" s="345">
        <f ca="1">INDIRECT("'数据-取费表'!k"&amp;$G$1)</f>
        <v>58.81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x14ac:dyDescent="0.2">
      <c r="A30" s="1191" t="s">
        <v>817</v>
      </c>
      <c r="B30" s="1192" t="s">
        <v>1148</v>
      </c>
      <c r="C30" s="316">
        <f ca="1">ROUND(C31+C36+C37+C38,0)</f>
        <v>47144</v>
      </c>
      <c r="D30" s="1199" t="s">
        <v>1149</v>
      </c>
      <c r="E30" s="1200"/>
      <c r="F30" s="1184"/>
      <c r="G30" s="1518"/>
      <c r="H30" s="2875"/>
      <c r="I30" s="1532"/>
      <c r="J30" s="1533"/>
      <c r="K30" s="2650"/>
      <c r="L30" s="2876"/>
      <c r="M30" s="2877"/>
    </row>
    <row r="31" spans="1:37" ht="18" customHeight="1" x14ac:dyDescent="0.2">
      <c r="A31" s="1093" t="s">
        <v>822</v>
      </c>
      <c r="B31" s="308" t="s">
        <v>1153</v>
      </c>
      <c r="C31" s="2484">
        <f ca="1">ROUND(IF(AND(项目基本情况!B11="自然人",项目基本情况!B10="北京市"),C6*F31/(1+'数据-取费表'!C42),C32+C33+C34),0)</f>
        <v>36721</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x14ac:dyDescent="0.2">
      <c r="A32" s="1093" t="s">
        <v>821</v>
      </c>
      <c r="B32" s="308" t="s">
        <v>1157</v>
      </c>
      <c r="C32" s="24">
        <f ca="1">IF(项目基本情况!B11="自然人","——",ROUND(C6*F32/(1+'数据-取费表'!C42),0))</f>
        <v>11684</v>
      </c>
      <c r="D32" s="1478" t="s">
        <v>1158</v>
      </c>
      <c r="E32" s="308" t="s">
        <v>1146</v>
      </c>
      <c r="F32" s="337">
        <f>'数据-取费表'!B41</f>
        <v>5.6000000000000001E-2</v>
      </c>
      <c r="G32" s="1518"/>
      <c r="H32" s="2875"/>
      <c r="I32" s="1532"/>
      <c r="J32" s="1533"/>
      <c r="K32" s="2650"/>
      <c r="L32" s="2876"/>
      <c r="M32" s="2877"/>
    </row>
    <row r="33" spans="1:18" ht="18" customHeight="1" x14ac:dyDescent="0.15">
      <c r="A33" s="1093" t="s">
        <v>823</v>
      </c>
      <c r="B33" s="308" t="s">
        <v>1161</v>
      </c>
      <c r="C33" s="24">
        <f ca="1">IF(项目基本情况!B11="自然人","——",IF(D33="按租金收入计税",ROUND(C6*F33/(1+'数据-取费表'!C42),0),IF(D33="按房产原值计税",ROUND(C29*F33*0.7,0),INDIRECT("'数据-取费表'!Aj"&amp;$G$1))))</f>
        <v>25037</v>
      </c>
      <c r="D33" s="1504" t="s">
        <v>4716</v>
      </c>
      <c r="E33" s="308" t="s">
        <v>1146</v>
      </c>
      <c r="F33" s="328">
        <f>IF(D33="按票据","——",IF(D33="按租金收入计税",'数据-取费表'!B51,'数据-取费表'!B50))</f>
        <v>0.12</v>
      </c>
      <c r="G33" s="1518"/>
      <c r="H33" s="2878"/>
      <c r="I33" s="1532"/>
      <c r="J33" s="1533"/>
      <c r="K33" s="2879"/>
      <c r="L33" s="2878"/>
      <c r="M33" s="2878"/>
    </row>
    <row r="34" spans="1:18" ht="18" customHeight="1" x14ac:dyDescent="0.15">
      <c r="A34" s="1181" t="s">
        <v>1113</v>
      </c>
      <c r="B34" s="160" t="s">
        <v>1165</v>
      </c>
      <c r="C34" s="25">
        <f ca="1">IF(项目基本情况!B11="自然人","——",ROUND(F34*F35,))</f>
        <v>0</v>
      </c>
      <c r="D34" s="330" t="s">
        <v>1166</v>
      </c>
      <c r="E34" s="308" t="s">
        <v>1167</v>
      </c>
      <c r="F34" s="331">
        <f>'数据-取费表'!B52</f>
        <v>24</v>
      </c>
      <c r="G34" s="1518"/>
      <c r="H34" s="2875"/>
      <c r="I34" s="1532"/>
      <c r="J34" s="1533"/>
      <c r="K34" s="2880"/>
      <c r="L34" s="2881"/>
      <c r="M34" s="2881"/>
    </row>
    <row r="35" spans="1:18" ht="18" customHeight="1" x14ac:dyDescent="0.15">
      <c r="A35" s="1215"/>
      <c r="B35" s="1213"/>
      <c r="C35" s="29"/>
      <c r="D35" s="333"/>
      <c r="E35" s="308" t="s">
        <v>1171</v>
      </c>
      <c r="F35" s="309">
        <f ca="1">INDIRECT("'数据-取费表'!r"&amp;$G$1)</f>
        <v>0</v>
      </c>
      <c r="G35" s="1518"/>
      <c r="H35" s="2875"/>
      <c r="I35" s="1532"/>
      <c r="J35" s="1533"/>
      <c r="K35" s="2879"/>
      <c r="L35" s="2878"/>
      <c r="M35" s="2878"/>
    </row>
    <row r="36" spans="1:18" ht="18" customHeight="1" x14ac:dyDescent="0.15">
      <c r="A36" s="1214" t="s">
        <v>826</v>
      </c>
      <c r="B36" s="308" t="s">
        <v>1173</v>
      </c>
      <c r="C36" s="24">
        <f ca="1">ROUND(C29*F36,0)</f>
        <v>5589</v>
      </c>
      <c r="D36" s="1478" t="s">
        <v>1206</v>
      </c>
      <c r="E36" s="308" t="s">
        <v>1146</v>
      </c>
      <c r="F36" s="334">
        <f ca="1">INDIRECT("'数据-取费表'!Ak"&amp;$G$1)</f>
        <v>0.02</v>
      </c>
      <c r="G36" s="1518"/>
      <c r="H36" s="2878"/>
      <c r="I36" s="1532"/>
      <c r="J36" s="1533"/>
      <c r="K36" s="2719"/>
      <c r="L36" s="2878"/>
      <c r="M36" s="2878"/>
    </row>
    <row r="37" spans="1:18" ht="18" customHeight="1" x14ac:dyDescent="0.15">
      <c r="A37" s="1093" t="s">
        <v>862</v>
      </c>
      <c r="B37" s="308" t="s">
        <v>1177</v>
      </c>
      <c r="C37" s="24">
        <f ca="1">ROUND(C13*F37,0)</f>
        <v>447</v>
      </c>
      <c r="D37" s="1478" t="s">
        <v>1178</v>
      </c>
      <c r="E37" s="308" t="s">
        <v>1179</v>
      </c>
      <c r="F37" s="336">
        <f ca="1">INDIRECT("'数据-取费表'!Al"&amp;$G$1)</f>
        <v>2E-3</v>
      </c>
      <c r="G37" s="1518"/>
      <c r="H37" s="2878"/>
      <c r="I37" s="1532"/>
      <c r="J37" s="1533"/>
      <c r="K37" s="2719"/>
      <c r="L37" s="2878"/>
      <c r="M37" s="2878"/>
    </row>
    <row r="38" spans="1:18" ht="18" customHeight="1" thickBot="1" x14ac:dyDescent="0.2">
      <c r="A38" s="1201" t="s">
        <v>1117</v>
      </c>
      <c r="B38" s="1202" t="s">
        <v>1163</v>
      </c>
      <c r="C38" s="1203">
        <f ca="1">ROUND(C5*F38,1)</f>
        <v>4387</v>
      </c>
      <c r="D38" s="1204" t="s">
        <v>1183</v>
      </c>
      <c r="E38" s="1202" t="s">
        <v>1179</v>
      </c>
      <c r="F38" s="1198">
        <f ca="1">INDIRECT("'数据-取费表'!Am"&amp;$G$1)</f>
        <v>0.02</v>
      </c>
      <c r="G38" s="1518"/>
      <c r="H38" s="2878"/>
      <c r="I38" s="1532"/>
      <c r="J38" s="1533"/>
      <c r="K38" s="2882"/>
      <c r="L38" s="2878"/>
      <c r="M38" s="2878"/>
    </row>
    <row r="39" spans="1:18" ht="24.5" customHeight="1" thickTop="1" x14ac:dyDescent="0.15">
      <c r="A39" s="1191" t="s">
        <v>818</v>
      </c>
      <c r="B39" s="1206" t="s">
        <v>1207</v>
      </c>
      <c r="C39" s="316">
        <f ca="1">C5-C30</f>
        <v>172208</v>
      </c>
      <c r="D39" s="1207" t="s">
        <v>1208</v>
      </c>
      <c r="E39" s="1208"/>
      <c r="F39" s="1209"/>
      <c r="G39" s="1518"/>
      <c r="H39" s="2878"/>
      <c r="I39" s="1532"/>
      <c r="J39" s="1533"/>
      <c r="K39" s="2882"/>
      <c r="L39" s="2878"/>
      <c r="M39" s="2878"/>
    </row>
    <row r="40" spans="1:18" ht="18" customHeight="1" x14ac:dyDescent="0.2">
      <c r="A40" s="305" t="s">
        <v>819</v>
      </c>
      <c r="B40" s="306" t="s">
        <v>1209</v>
      </c>
      <c r="C40" s="307">
        <f ca="1">ROUND(C39*(1-((1+F42)/(1+F40))^F41)/(F40-F42),0)</f>
        <v>2682299</v>
      </c>
      <c r="D40" s="330" t="s">
        <v>1193</v>
      </c>
      <c r="E40" s="308" t="s">
        <v>1194</v>
      </c>
      <c r="F40" s="318">
        <f ca="1">INDIRECT("'数据-取费表'!I"&amp;$G$1)</f>
        <v>5.5E-2</v>
      </c>
      <c r="G40" s="1518"/>
      <c r="H40" s="1595"/>
      <c r="I40" s="1532"/>
      <c r="J40" s="1533"/>
      <c r="K40" s="2882"/>
      <c r="L40" s="1595"/>
      <c r="M40" s="1595"/>
    </row>
    <row r="41" spans="1:18" ht="18" customHeight="1" x14ac:dyDescent="0.2">
      <c r="A41" s="310"/>
      <c r="B41" s="311"/>
      <c r="C41" s="312"/>
      <c r="D41" s="338" t="s">
        <v>1210</v>
      </c>
      <c r="E41" s="308" t="s">
        <v>1198</v>
      </c>
      <c r="F41" s="339">
        <f ca="1">IF(INDIRECT("'数据-取费表'!af"&amp;$G$1)=0,INDIRECT("'数据-取费表'!ae"&amp;$G$1),INDIRECT("'数据-取费表'!af"&amp;$G$1))</f>
        <v>21.83</v>
      </c>
      <c r="G41" s="1518"/>
      <c r="H41" s="1305"/>
      <c r="I41" s="1532"/>
      <c r="J41" s="1533"/>
      <c r="K41" s="2719"/>
      <c r="L41" s="1305"/>
      <c r="M41" s="1305"/>
    </row>
    <row r="42" spans="1:18" ht="18" customHeight="1" x14ac:dyDescent="0.2">
      <c r="A42" s="314"/>
      <c r="B42" s="315"/>
      <c r="C42" s="316"/>
      <c r="D42" s="333"/>
      <c r="E42" s="308" t="s">
        <v>1201</v>
      </c>
      <c r="F42" s="318">
        <f ca="1">INDIRECT("'数据-取费表'!v"&amp;$G$1)</f>
        <v>2.5000000000000001E-2</v>
      </c>
      <c r="G42" s="1518"/>
      <c r="H42" s="1305"/>
      <c r="I42" s="1532"/>
      <c r="J42" s="1533"/>
      <c r="K42" s="2719"/>
      <c r="L42" s="1305"/>
      <c r="M42" s="1305"/>
    </row>
    <row r="43" spans="1:18" ht="18" customHeight="1" thickBot="1" x14ac:dyDescent="0.25">
      <c r="A43" s="340" t="s">
        <v>820</v>
      </c>
      <c r="B43" s="341" t="s">
        <v>1211</v>
      </c>
      <c r="C43" s="342">
        <f ca="1">ROUND(C40/F43,0)</f>
        <v>45610</v>
      </c>
      <c r="D43" s="343" t="s">
        <v>1212</v>
      </c>
      <c r="E43" s="344" t="s">
        <v>1213</v>
      </c>
      <c r="F43" s="345">
        <f ca="1">INDIRECT("'数据-取费表'!k"&amp;$G$1)</f>
        <v>58.81</v>
      </c>
      <c r="G43" s="1518"/>
      <c r="H43" s="1305"/>
      <c r="I43" s="1305"/>
      <c r="J43" s="1305"/>
      <c r="K43" s="2719"/>
      <c r="L43" s="1305"/>
      <c r="M43" s="1305"/>
    </row>
    <row r="44" spans="1:18" s="1518" customFormat="1" ht="18" customHeight="1" x14ac:dyDescent="0.15">
      <c r="A44" s="1534"/>
      <c r="B44" s="1534"/>
      <c r="C44" s="1535"/>
      <c r="D44" s="1534"/>
      <c r="E44" s="1534"/>
      <c r="F44" s="1534"/>
      <c r="K44" s="1536"/>
    </row>
    <row r="45" spans="1:18" s="1518" customFormat="1" ht="18" customHeight="1" thickBot="1" x14ac:dyDescent="0.2">
      <c r="A45" s="1534"/>
      <c r="B45" s="1534"/>
      <c r="C45" s="1606">
        <f ca="1">C68-C40</f>
        <v>-3141929</v>
      </c>
      <c r="D45" s="1607" t="s">
        <v>1328</v>
      </c>
      <c r="E45" s="1534"/>
      <c r="F45" s="1534"/>
      <c r="O45" s="1537" t="s">
        <v>1243</v>
      </c>
      <c r="P45" s="1595"/>
      <c r="Q45" s="1595"/>
      <c r="R45" s="1595"/>
    </row>
    <row r="46" spans="1:18" s="1518" customFormat="1" ht="15" thickBot="1" x14ac:dyDescent="0.2">
      <c r="A46" s="1538" t="s">
        <v>1244</v>
      </c>
      <c r="C46" s="1539">
        <f ca="1">ROUND(C45/10000,0)</f>
        <v>-314</v>
      </c>
      <c r="D46" s="1540" t="str">
        <f>C2</f>
        <v>万元</v>
      </c>
      <c r="I46" s="1541" t="s">
        <v>1245</v>
      </c>
      <c r="J46" s="1542"/>
      <c r="K46" s="1543"/>
      <c r="L46" s="1544" t="str">
        <f ca="1">IF(M47="住宅",0,IF(L48&gt;J51,L60,J60))</f>
        <v>0</v>
      </c>
      <c r="O46" s="1545" t="s">
        <v>1246</v>
      </c>
      <c r="P46" s="1546" t="s">
        <v>1247</v>
      </c>
      <c r="Q46" s="1547" t="s">
        <v>1248</v>
      </c>
      <c r="R46" s="1547" t="s">
        <v>1249</v>
      </c>
    </row>
    <row r="47" spans="1:18" s="1518" customFormat="1" ht="15" thickBot="1" x14ac:dyDescent="0.25">
      <c r="A47" s="1057" t="s">
        <v>1120</v>
      </c>
      <c r="B47" s="1089" t="s">
        <v>1121</v>
      </c>
      <c r="C47" s="1089" t="s">
        <v>1122</v>
      </c>
      <c r="D47" s="1089" t="s">
        <v>1123</v>
      </c>
      <c r="E47" s="1169" t="s">
        <v>1124</v>
      </c>
      <c r="F47" s="1170"/>
      <c r="G47" s="730"/>
      <c r="I47" s="1548" t="s">
        <v>1250</v>
      </c>
      <c r="J47" s="1549" t="s">
        <v>4717</v>
      </c>
      <c r="K47" s="1550" t="s">
        <v>1251</v>
      </c>
      <c r="L47" s="1551">
        <f ca="1">INDIRECT("'数据-取费表'!d"&amp;$G$1)</f>
        <v>40</v>
      </c>
      <c r="M47" s="1514" t="str">
        <f>IF(ISNUMBER(FIND("住宅",C1)),"住宅","非住宅")</f>
        <v>非住宅</v>
      </c>
      <c r="O47" s="1552" t="s">
        <v>827</v>
      </c>
      <c r="P47" s="1553" t="s">
        <v>1252</v>
      </c>
      <c r="Q47" s="1554">
        <f ca="1">C40+J29</f>
        <v>2682299</v>
      </c>
      <c r="R47" s="1554" t="s">
        <v>1253</v>
      </c>
    </row>
    <row r="48" spans="1:18" s="1518" customFormat="1" ht="47" thickBot="1" x14ac:dyDescent="0.2">
      <c r="A48" s="1222" t="s">
        <v>863</v>
      </c>
      <c r="B48" s="306" t="s">
        <v>1125</v>
      </c>
      <c r="C48" s="1493">
        <f ca="1">C49+C53+C55</f>
        <v>0</v>
      </c>
      <c r="D48" s="1224"/>
      <c r="E48" s="1225"/>
      <c r="F48" s="1073"/>
      <c r="G48" s="730"/>
      <c r="H48" s="731"/>
      <c r="I48" s="1555" t="s">
        <v>1254</v>
      </c>
      <c r="J48" s="1556" t="s">
        <v>4718</v>
      </c>
      <c r="K48" s="1557" t="s">
        <v>1255</v>
      </c>
      <c r="L48" s="1558">
        <f ca="1">INDIRECT("'数据-取费表'!f"&amp;$G$1)</f>
        <v>21.83</v>
      </c>
      <c r="O48" s="1552" t="s">
        <v>828</v>
      </c>
      <c r="P48" s="1553" t="s">
        <v>1256</v>
      </c>
      <c r="Q48" s="1554" t="str">
        <f ca="1">J60</f>
        <v>0</v>
      </c>
      <c r="R48" s="1554" t="s">
        <v>1257</v>
      </c>
    </row>
    <row r="49" spans="1:18" s="1518" customFormat="1" ht="15" thickBot="1" x14ac:dyDescent="0.2">
      <c r="A49" s="1086" t="s">
        <v>864</v>
      </c>
      <c r="B49" s="1505" t="s">
        <v>1214</v>
      </c>
      <c r="C49" s="1226">
        <f ca="1">ROUND(F49*F51*F50*(1-F52),0)</f>
        <v>0</v>
      </c>
      <c r="D49" s="1166" t="s">
        <v>1128</v>
      </c>
      <c r="E49" s="1506" t="s">
        <v>1215</v>
      </c>
      <c r="F49" s="1171"/>
      <c r="G49" s="1559"/>
      <c r="H49" s="731"/>
      <c r="I49" s="1555" t="s">
        <v>1258</v>
      </c>
      <c r="J49" s="1560">
        <v>2008</v>
      </c>
      <c r="K49" s="1557" t="s">
        <v>1259</v>
      </c>
      <c r="L49" s="1561"/>
      <c r="O49" s="1562" t="s">
        <v>829</v>
      </c>
      <c r="P49" s="1553" t="s">
        <v>1260</v>
      </c>
      <c r="Q49" s="1554">
        <f ca="1">C29</f>
        <v>279446</v>
      </c>
      <c r="R49" s="1554" t="s">
        <v>1253</v>
      </c>
    </row>
    <row r="50" spans="1:18" s="1518" customFormat="1" ht="15" thickBot="1" x14ac:dyDescent="0.2">
      <c r="A50" s="1087"/>
      <c r="B50" s="1090"/>
      <c r="C50" s="1091"/>
      <c r="D50" s="1064"/>
      <c r="E50" s="1167" t="s">
        <v>1130</v>
      </c>
      <c r="F50" s="1168">
        <f ca="1">F7</f>
        <v>58.81</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5" thickBot="1" x14ac:dyDescent="0.25">
      <c r="A51" s="1088"/>
      <c r="B51" s="1090"/>
      <c r="C51" s="1091"/>
      <c r="D51" s="1064"/>
      <c r="E51" s="1092" t="s">
        <v>1131</v>
      </c>
      <c r="F51" s="309">
        <f ca="1">F8</f>
        <v>365</v>
      </c>
      <c r="I51" s="1566" t="s">
        <v>1264</v>
      </c>
      <c r="J51" s="1567">
        <f>IF(J49="",J50,J49+J50-YEAR('数据-取费表'!B2))</f>
        <v>46</v>
      </c>
      <c r="K51" s="1568" t="s">
        <v>1265</v>
      </c>
      <c r="L51" s="1569">
        <f ca="1">ROUND(-PV(INDIRECT("'数据-取费表'!h"&amp;$G$1),J51,(C39-C13*C76),0),0)</f>
        <v>2604033</v>
      </c>
      <c r="M51" s="1570"/>
      <c r="O51" s="1562" t="s">
        <v>831</v>
      </c>
      <c r="P51" s="1553" t="s">
        <v>1266</v>
      </c>
      <c r="Q51" s="1565">
        <f>J52</f>
        <v>0</v>
      </c>
      <c r="R51" s="1554"/>
    </row>
    <row r="52" spans="1:18" s="1518" customFormat="1" ht="15" thickBot="1" x14ac:dyDescent="0.25">
      <c r="A52" s="1088"/>
      <c r="B52" s="1090"/>
      <c r="C52" s="1091"/>
      <c r="D52" s="1064"/>
      <c r="E52" s="1092" t="s">
        <v>1132</v>
      </c>
      <c r="F52" s="1165"/>
      <c r="I52" s="1571" t="s">
        <v>1267</v>
      </c>
      <c r="J52" s="1572"/>
      <c r="K52" s="1571" t="s">
        <v>1268</v>
      </c>
      <c r="L52" s="1572"/>
      <c r="O52" s="1562" t="s">
        <v>832</v>
      </c>
      <c r="P52" s="1553" t="s">
        <v>1269</v>
      </c>
      <c r="Q52" s="1554">
        <f ca="1">J53</f>
        <v>21.83</v>
      </c>
      <c r="R52" s="1554" t="s">
        <v>1270</v>
      </c>
    </row>
    <row r="53" spans="1:18" s="1518" customFormat="1" ht="30.75" customHeight="1" thickBot="1" x14ac:dyDescent="0.25">
      <c r="A53" s="1223" t="s">
        <v>865</v>
      </c>
      <c r="B53" s="329" t="s">
        <v>1133</v>
      </c>
      <c r="C53" s="322">
        <f ca="1">ROUND(IF(F53="押一",C49/12*F11,IF(F53="押二",C49/12*2*F11,IF(F53="押三",C49/12*3*F11,C54*F11))),0)</f>
        <v>0</v>
      </c>
      <c r="D53" s="1500" t="s">
        <v>2619</v>
      </c>
      <c r="E53" s="319" t="s">
        <v>1134</v>
      </c>
      <c r="F53" s="1228"/>
      <c r="I53" s="1573" t="s">
        <v>1271</v>
      </c>
      <c r="J53" s="2336">
        <f ca="1">IF(M47="住宅",IF(D1="——",MAX(J51,L48),MAX(J51,L48-'数据-取费表'!B24)),IF(D1="——",MIN(J51,L48),MIN(J51,L48-'数据-取费表'!B24)))</f>
        <v>21.83</v>
      </c>
      <c r="K53" s="3632" t="s">
        <v>1272</v>
      </c>
      <c r="L53" s="3633"/>
      <c r="O53" s="1552" t="s">
        <v>833</v>
      </c>
      <c r="P53" s="1553" t="s">
        <v>1273</v>
      </c>
      <c r="Q53" s="1554">
        <f ca="1">Q47+Q48</f>
        <v>2682299</v>
      </c>
      <c r="R53" s="1554" t="s">
        <v>834</v>
      </c>
    </row>
    <row r="54" spans="1:18" s="1518" customFormat="1" ht="15" thickBot="1" x14ac:dyDescent="0.25">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5" thickBot="1" x14ac:dyDescent="0.25">
      <c r="A55" s="1195" t="s">
        <v>862</v>
      </c>
      <c r="B55" s="1503" t="s">
        <v>1137</v>
      </c>
      <c r="C55" s="1196"/>
      <c r="D55" s="1500"/>
      <c r="E55" s="1508"/>
      <c r="F55" s="1574"/>
      <c r="I55" s="1577" t="s">
        <v>1275</v>
      </c>
      <c r="J55" s="1578" t="e">
        <f ca="1">ROUND(IF(J47="钢混",J57/J50,1-(1-2%)*(J50-J57)/J50),3)</f>
        <v>#VALUE!</v>
      </c>
      <c r="K55" s="1579" t="s">
        <v>1276</v>
      </c>
      <c r="L55" s="1580"/>
      <c r="O55" s="1545" t="s">
        <v>1246</v>
      </c>
      <c r="P55" s="1546" t="s">
        <v>1247</v>
      </c>
      <c r="Q55" s="1547" t="s">
        <v>1248</v>
      </c>
      <c r="R55" s="1547" t="s">
        <v>1249</v>
      </c>
    </row>
    <row r="56" spans="1:18" s="1518" customFormat="1" ht="36" customHeight="1" thickTop="1" thickBot="1" x14ac:dyDescent="0.25">
      <c r="A56" s="1068">
        <v>2</v>
      </c>
      <c r="B56" s="1069" t="s">
        <v>1138</v>
      </c>
      <c r="C56" s="238">
        <f ca="1">C13</f>
        <v>223557</v>
      </c>
      <c r="D56" s="1581"/>
      <c r="E56" s="1582"/>
      <c r="F56" s="1574"/>
      <c r="I56" s="1583" t="s">
        <v>1278</v>
      </c>
      <c r="J56" s="1584" t="s">
        <v>3242</v>
      </c>
      <c r="K56" s="1555" t="s">
        <v>1279</v>
      </c>
      <c r="L56" s="1558" t="str">
        <f ca="1">IF(L48&lt;J51,"——",L48-J51)</f>
        <v>——</v>
      </c>
      <c r="O56" s="1552" t="s">
        <v>827</v>
      </c>
      <c r="P56" s="1553" t="s">
        <v>1252</v>
      </c>
      <c r="Q56" s="1554">
        <f ca="1">C40+J29</f>
        <v>2682299</v>
      </c>
      <c r="R56" s="1554" t="s">
        <v>1253</v>
      </c>
    </row>
    <row r="57" spans="1:18" s="1518" customFormat="1" ht="29" thickBot="1" x14ac:dyDescent="0.25">
      <c r="A57" s="1585"/>
      <c r="B57" s="1061" t="s">
        <v>1202</v>
      </c>
      <c r="C57" s="244">
        <f ca="1">C29</f>
        <v>279446</v>
      </c>
      <c r="D57" s="1586"/>
      <c r="E57" s="1587"/>
      <c r="F57" s="1588"/>
      <c r="I57" s="1589" t="s">
        <v>1280</v>
      </c>
      <c r="J57" s="1590" t="str">
        <f ca="1">IF(OR(M47="住宅",J51&lt;L48,J56="是"),"——",J51-L48)</f>
        <v>——</v>
      </c>
      <c r="K57" s="1555" t="s">
        <v>1329</v>
      </c>
      <c r="L57" s="1558" t="str">
        <f ca="1">IF(L48&lt;J51,"——",IF(L55="比较法",L49,IF(L55="基准地价",L50,L51)))</f>
        <v>——</v>
      </c>
      <c r="O57" s="1552" t="s">
        <v>828</v>
      </c>
      <c r="P57" s="1553" t="s">
        <v>1330</v>
      </c>
      <c r="Q57" s="1554">
        <f ca="1">L60</f>
        <v>0</v>
      </c>
      <c r="R57" s="1554" t="s">
        <v>1331</v>
      </c>
    </row>
    <row r="58" spans="1:18" s="1518" customFormat="1" ht="29" thickBot="1" x14ac:dyDescent="0.25">
      <c r="A58" s="321" t="s">
        <v>817</v>
      </c>
      <c r="B58" s="1069" t="s">
        <v>1148</v>
      </c>
      <c r="C58" s="322">
        <f ca="1">ROUND(C59+C64+C65+C66,0)</f>
        <v>29509</v>
      </c>
      <c r="D58" s="1071" t="s">
        <v>1149</v>
      </c>
      <c r="E58" s="1072"/>
      <c r="F58" s="1073"/>
      <c r="I58" s="1589" t="s">
        <v>1284</v>
      </c>
      <c r="J58" s="1591" t="e">
        <f ca="1">IF(J55&lt;0.4,0.4,J55)</f>
        <v>#VALUE!</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9" thickBot="1" x14ac:dyDescent="0.25">
      <c r="A59" s="1093" t="s">
        <v>822</v>
      </c>
      <c r="B59" s="1061" t="s">
        <v>1153</v>
      </c>
      <c r="C59" s="2484">
        <f ca="1">ROUND(IF(AND(项目基本情况!B11="自然人",项目基本情况!B10="北京市"),C49*F59/(1+'数据-取费表'!C42),C60+C61+C62),0)</f>
        <v>23473</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 thickBot="1" x14ac:dyDescent="0.25">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5" thickBot="1" x14ac:dyDescent="0.25">
      <c r="A61" s="1093" t="s">
        <v>1216</v>
      </c>
      <c r="B61" s="1061" t="s">
        <v>1217</v>
      </c>
      <c r="C61" s="24">
        <f ca="1">IF(项目基本情况!B11="自然人","——",IF(D61="按租金收入计税",ROUND(C49*F61/(1+'数据-取费表'!C42),0),IF(D61="按房产原值计税",ROUND(C57*F61*0.7,0),INDIRECT("'数据-取费表'!Aj"&amp;$G$1))))</f>
        <v>23473</v>
      </c>
      <c r="D61" s="1504" t="s">
        <v>1162</v>
      </c>
      <c r="E61" s="1061"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5" thickBot="1" x14ac:dyDescent="0.2">
      <c r="A62" s="1093" t="s">
        <v>1219</v>
      </c>
      <c r="B62" s="1060" t="s">
        <v>1220</v>
      </c>
      <c r="C62" s="25">
        <f ca="1">IF(项目基本情况!B11="自然人","——",ROUND(F62*F63,0))</f>
        <v>0</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2682299</v>
      </c>
      <c r="R62" s="1554" t="s">
        <v>834</v>
      </c>
    </row>
    <row r="63" spans="1:18" s="1518" customFormat="1" ht="15" thickBot="1" x14ac:dyDescent="0.2">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5" thickBot="1" x14ac:dyDescent="0.2">
      <c r="A64" s="1093" t="s">
        <v>1224</v>
      </c>
      <c r="B64" s="1061" t="s">
        <v>1225</v>
      </c>
      <c r="C64" s="24">
        <f ca="1">ROUND(C57*F64,0)</f>
        <v>5589</v>
      </c>
      <c r="D64" s="1075" t="s">
        <v>1226</v>
      </c>
      <c r="E64" s="1061" t="s">
        <v>1218</v>
      </c>
      <c r="F64" s="334">
        <f t="shared" ca="1" si="0"/>
        <v>0.02</v>
      </c>
      <c r="I64" s="1596" t="s">
        <v>1302</v>
      </c>
      <c r="J64" s="1597">
        <v>50</v>
      </c>
      <c r="K64" s="1597">
        <v>35</v>
      </c>
      <c r="L64" s="1597">
        <v>60</v>
      </c>
      <c r="M64" s="1598">
        <v>0</v>
      </c>
      <c r="O64" s="1545" t="s">
        <v>1246</v>
      </c>
      <c r="P64" s="1546" t="s">
        <v>1247</v>
      </c>
      <c r="Q64" s="1547" t="s">
        <v>1248</v>
      </c>
      <c r="R64" s="1547" t="s">
        <v>1249</v>
      </c>
    </row>
    <row r="65" spans="1:18" s="1518" customFormat="1" ht="15" thickBot="1" x14ac:dyDescent="0.2">
      <c r="A65" s="1093" t="s">
        <v>1227</v>
      </c>
      <c r="B65" s="1061" t="s">
        <v>1177</v>
      </c>
      <c r="C65" s="24">
        <f ca="1">ROUND(C56*F65,0)</f>
        <v>447</v>
      </c>
      <c r="D65" s="1075" t="s">
        <v>1178</v>
      </c>
      <c r="E65" s="1061" t="s">
        <v>1179</v>
      </c>
      <c r="F65" s="336">
        <f t="shared" ca="1" si="0"/>
        <v>2E-3</v>
      </c>
      <c r="I65" s="1596" t="s">
        <v>1303</v>
      </c>
      <c r="J65" s="1597">
        <v>40</v>
      </c>
      <c r="K65" s="1597">
        <v>30</v>
      </c>
      <c r="L65" s="1597">
        <v>50</v>
      </c>
      <c r="M65" s="1599">
        <v>0.02</v>
      </c>
      <c r="O65" s="1552" t="s">
        <v>827</v>
      </c>
      <c r="P65" s="1553" t="s">
        <v>1304</v>
      </c>
      <c r="Q65" s="1554">
        <f ca="1">C40+J29</f>
        <v>2682299</v>
      </c>
      <c r="R65" s="1554" t="s">
        <v>1253</v>
      </c>
    </row>
    <row r="66" spans="1:18" s="1518" customFormat="1" ht="16" thickBot="1" x14ac:dyDescent="0.25">
      <c r="A66" s="1093" t="s">
        <v>1228</v>
      </c>
      <c r="B66" s="1061" t="s">
        <v>1163</v>
      </c>
      <c r="C66" s="24">
        <f ca="1">ROUND(C48*F66,0)</f>
        <v>0</v>
      </c>
      <c r="D66" s="1075" t="s">
        <v>1229</v>
      </c>
      <c r="E66" s="1061" t="s">
        <v>1146</v>
      </c>
      <c r="F66" s="318">
        <f t="shared" ca="1" si="0"/>
        <v>0.02</v>
      </c>
      <c r="O66" s="1552" t="s">
        <v>828</v>
      </c>
      <c r="P66" s="1553" t="s">
        <v>1282</v>
      </c>
      <c r="Q66" s="1554">
        <f ca="1">L60</f>
        <v>0</v>
      </c>
      <c r="R66" s="1554" t="s">
        <v>1305</v>
      </c>
    </row>
    <row r="67" spans="1:18" s="1518" customFormat="1" ht="17" thickBot="1" x14ac:dyDescent="0.25">
      <c r="A67" s="1068" t="s">
        <v>818</v>
      </c>
      <c r="B67" s="1078" t="s">
        <v>1187</v>
      </c>
      <c r="C67" s="322">
        <f ca="1">C48-C58</f>
        <v>-29509</v>
      </c>
      <c r="D67" s="1074" t="s">
        <v>1188</v>
      </c>
      <c r="E67" s="1079"/>
      <c r="F67" s="1080"/>
      <c r="O67" s="1562" t="s">
        <v>829</v>
      </c>
      <c r="P67" s="1553" t="s">
        <v>1286</v>
      </c>
      <c r="Q67" s="1600">
        <f ca="1">L51</f>
        <v>2604033</v>
      </c>
      <c r="R67" s="1554" t="s">
        <v>1306</v>
      </c>
    </row>
    <row r="68" spans="1:18" s="1518" customFormat="1" ht="16" thickBot="1" x14ac:dyDescent="0.25">
      <c r="A68" s="1058" t="s">
        <v>819</v>
      </c>
      <c r="B68" s="1059" t="s">
        <v>1209</v>
      </c>
      <c r="C68" s="307">
        <f ca="1">ROUND(C67*(1-((1+F70)/(1+F68))^F69)/(F68-F70),0)</f>
        <v>-459630</v>
      </c>
      <c r="D68" s="1076" t="s">
        <v>1193</v>
      </c>
      <c r="E68" s="1061" t="s">
        <v>1194</v>
      </c>
      <c r="F68" s="318">
        <f ca="1">F40</f>
        <v>5.5E-2</v>
      </c>
      <c r="O68" s="1562" t="s">
        <v>830</v>
      </c>
      <c r="P68" s="1601" t="s">
        <v>1307</v>
      </c>
      <c r="Q68" s="1554">
        <f ca="1">ROUND(Q69-Q70*Q71,0)</f>
        <v>156559</v>
      </c>
      <c r="R68" s="1554" t="s">
        <v>838</v>
      </c>
    </row>
    <row r="69" spans="1:18" s="1518" customFormat="1" ht="15" thickBot="1" x14ac:dyDescent="0.25">
      <c r="A69" s="1062"/>
      <c r="B69" s="1063"/>
      <c r="C69" s="312"/>
      <c r="D69" s="1081" t="s">
        <v>1197</v>
      </c>
      <c r="E69" s="1061" t="s">
        <v>1198</v>
      </c>
      <c r="F69" s="339">
        <f ca="1">F41</f>
        <v>21.83</v>
      </c>
      <c r="O69" s="1562" t="s">
        <v>835</v>
      </c>
      <c r="P69" s="1601" t="s">
        <v>1308</v>
      </c>
      <c r="Q69" s="1554">
        <f ca="1">C39</f>
        <v>172208</v>
      </c>
      <c r="R69" s="1554" t="s">
        <v>1253</v>
      </c>
    </row>
    <row r="70" spans="1:18" s="1518" customFormat="1" ht="15" thickBot="1" x14ac:dyDescent="0.25">
      <c r="A70" s="1065"/>
      <c r="B70" s="1066"/>
      <c r="C70" s="316"/>
      <c r="D70" s="1077"/>
      <c r="E70" s="1061" t="s">
        <v>1201</v>
      </c>
      <c r="F70" s="1165">
        <f ca="1">F42</f>
        <v>2.5000000000000001E-2</v>
      </c>
      <c r="O70" s="1562" t="s">
        <v>836</v>
      </c>
      <c r="P70" s="1601" t="s">
        <v>1309</v>
      </c>
      <c r="Q70" s="1554">
        <f ca="1">C13</f>
        <v>223557</v>
      </c>
      <c r="R70" s="1554" t="s">
        <v>1253</v>
      </c>
    </row>
    <row r="71" spans="1:18" s="1518" customFormat="1" ht="15" thickBot="1" x14ac:dyDescent="0.25">
      <c r="A71" s="1082" t="s">
        <v>820</v>
      </c>
      <c r="B71" s="1083" t="s">
        <v>1211</v>
      </c>
      <c r="C71" s="342">
        <f ca="1">ROUND(C68/F71,0)</f>
        <v>-7816</v>
      </c>
      <c r="D71" s="1084" t="s">
        <v>1212</v>
      </c>
      <c r="E71" s="1085" t="s">
        <v>1213</v>
      </c>
      <c r="F71" s="345">
        <f ca="1">F43</f>
        <v>58.81</v>
      </c>
      <c r="O71" s="1562" t="s">
        <v>837</v>
      </c>
      <c r="P71" s="1601" t="s">
        <v>1310</v>
      </c>
      <c r="Q71" s="1565">
        <f ca="1">C76</f>
        <v>7.0000000000000007E-2</v>
      </c>
      <c r="R71" s="1554"/>
    </row>
    <row r="72" spans="1:18" s="1518" customFormat="1" ht="15" thickBot="1" x14ac:dyDescent="0.25">
      <c r="B72" s="734"/>
      <c r="C72" s="734"/>
      <c r="O72" s="1562" t="s">
        <v>831</v>
      </c>
      <c r="P72" s="1553" t="s">
        <v>1288</v>
      </c>
      <c r="Q72" s="1565">
        <f>L52</f>
        <v>0</v>
      </c>
      <c r="R72" s="1554"/>
    </row>
    <row r="73" spans="1:18" ht="16" thickBot="1" x14ac:dyDescent="0.25">
      <c r="A73" s="1518"/>
      <c r="B73" s="734"/>
      <c r="C73" s="734"/>
      <c r="D73" s="1518"/>
      <c r="E73" s="1518"/>
      <c r="F73" s="1518"/>
      <c r="O73" s="1562" t="s">
        <v>832</v>
      </c>
      <c r="P73" s="1553" t="s">
        <v>1291</v>
      </c>
      <c r="Q73" s="1554" t="e">
        <f ca="1">L58</f>
        <v>#DIV/0!</v>
      </c>
      <c r="R73" s="1554" t="s">
        <v>1292</v>
      </c>
    </row>
    <row r="74" spans="1:18" ht="15" thickBot="1" x14ac:dyDescent="0.2">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5" thickBot="1" x14ac:dyDescent="0.2">
      <c r="A75" s="1518"/>
      <c r="B75" s="346" t="s">
        <v>1230</v>
      </c>
      <c r="C75" s="347">
        <f ca="1">ROUND(C13*C76,0)</f>
        <v>15649</v>
      </c>
      <c r="D75" s="1518"/>
      <c r="E75" s="1518"/>
      <c r="F75" s="1518"/>
      <c r="K75" s="1536"/>
      <c r="L75" s="1518"/>
      <c r="O75" s="1552" t="s">
        <v>833</v>
      </c>
      <c r="P75" s="1553" t="s">
        <v>1273</v>
      </c>
      <c r="Q75" s="1554">
        <f ca="1">Q65+Q66</f>
        <v>2682299</v>
      </c>
      <c r="R75" s="1554" t="s">
        <v>834</v>
      </c>
    </row>
    <row r="76" spans="1:18" ht="14" x14ac:dyDescent="0.2">
      <c r="B76" s="348" t="s">
        <v>1231</v>
      </c>
      <c r="C76" s="349">
        <f ca="1">INDIRECT("'数据-取费表'!j"&amp;$G$1)</f>
        <v>7.0000000000000007E-2</v>
      </c>
      <c r="I76" s="1518"/>
      <c r="J76" s="1518"/>
      <c r="K76" s="1536"/>
      <c r="L76" s="1518"/>
    </row>
    <row r="77" spans="1:18" ht="14" x14ac:dyDescent="0.15">
      <c r="B77" s="350" t="s">
        <v>1232</v>
      </c>
      <c r="C77" s="351"/>
      <c r="I77" s="1518"/>
      <c r="J77" s="1518"/>
      <c r="K77" s="1536"/>
      <c r="L77" s="1518"/>
    </row>
    <row r="78" spans="1:18" ht="14" x14ac:dyDescent="0.15">
      <c r="B78" s="276" t="s">
        <v>1233</v>
      </c>
      <c r="C78" s="352"/>
    </row>
    <row r="79" spans="1:18" ht="14" x14ac:dyDescent="0.15">
      <c r="B79" s="346" t="s">
        <v>1234</v>
      </c>
      <c r="C79" s="280">
        <f ca="1">1-C80</f>
        <v>0.90900000000000003</v>
      </c>
    </row>
    <row r="80" spans="1:18" ht="14" x14ac:dyDescent="0.15">
      <c r="B80" s="346" t="s">
        <v>1235</v>
      </c>
      <c r="C80" s="280">
        <f ca="1">ROUND(C75/C39,3)</f>
        <v>9.0999999999999998E-2</v>
      </c>
    </row>
    <row r="81" spans="2:3" ht="14" x14ac:dyDescent="0.15">
      <c r="B81" s="276" t="s">
        <v>1236</v>
      </c>
      <c r="C81" s="244"/>
    </row>
    <row r="82" spans="2:3" ht="14" x14ac:dyDescent="0.15">
      <c r="B82" s="279" t="s">
        <v>1237</v>
      </c>
      <c r="C82" s="281">
        <f ca="1">1-C83</f>
        <v>0.91700000000000004</v>
      </c>
    </row>
    <row r="83" spans="2:3" ht="14" x14ac:dyDescent="0.15">
      <c r="B83" s="279" t="s">
        <v>1238</v>
      </c>
      <c r="C83" s="280">
        <f ca="1">ROUND(C13/C40,3)</f>
        <v>8.3000000000000004E-2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W44"/>
  <sheetViews>
    <sheetView zoomScale="80" zoomScaleNormal="80" workbookViewId="0">
      <selection activeCell="E1" sqref="E1:F1"/>
    </sheetView>
  </sheetViews>
  <sheetFormatPr baseColWidth="10" defaultColWidth="8.83203125" defaultRowHeight="13.25" customHeight="1" x14ac:dyDescent="0.15"/>
  <cols>
    <col min="1" max="1" width="9.5" style="3022" customWidth="1"/>
    <col min="2" max="2" width="8.83203125" style="3022"/>
    <col min="3" max="5" width="12.83203125" style="3022" customWidth="1"/>
    <col min="6" max="6" width="47.5" style="3022" customWidth="1"/>
    <col min="7" max="7" width="13" style="3181" customWidth="1"/>
    <col min="8" max="8" width="8.83203125" style="3016"/>
    <col min="9" max="9" width="8.83203125" style="3017"/>
    <col min="10" max="10" width="5.6640625" style="3182" customWidth="1"/>
    <col min="11" max="11" width="11.6640625" style="3182" customWidth="1"/>
    <col min="12" max="13" width="10.6640625" style="3182" customWidth="1"/>
    <col min="14" max="14" width="10" style="3182" customWidth="1"/>
    <col min="15" max="16" width="10.5" style="3182" bestFit="1" customWidth="1"/>
    <col min="17" max="17" width="10" style="3182" customWidth="1"/>
    <col min="18" max="18" width="10.1640625" style="3182" customWidth="1"/>
    <col min="19" max="19" width="10" style="3182" customWidth="1"/>
    <col min="20" max="20" width="26.1640625" style="3182" customWidth="1"/>
    <col min="21" max="21" width="8.83203125" style="3182"/>
    <col min="22" max="22" width="8.83203125" style="3017"/>
    <col min="23" max="256" width="8.83203125" style="3022"/>
    <col min="257" max="257" width="9.5" style="3022" customWidth="1"/>
    <col min="258" max="258" width="8.83203125" style="3022"/>
    <col min="259" max="261" width="12.83203125" style="3022" customWidth="1"/>
    <col min="262" max="262" width="47.5" style="3022" customWidth="1"/>
    <col min="263" max="263" width="13" style="3022" customWidth="1"/>
    <col min="264" max="265" width="8.83203125" style="3022"/>
    <col min="266" max="266" width="5.6640625" style="3022" customWidth="1"/>
    <col min="267" max="267" width="11.6640625" style="3022" customWidth="1"/>
    <col min="268" max="269" width="10.6640625" style="3022" customWidth="1"/>
    <col min="270" max="270" width="10" style="3022" customWidth="1"/>
    <col min="271" max="272" width="10.5" style="3022" bestFit="1" customWidth="1"/>
    <col min="273" max="273" width="10" style="3022" customWidth="1"/>
    <col min="274" max="274" width="10.1640625" style="3022" customWidth="1"/>
    <col min="275" max="275" width="10" style="3022" customWidth="1"/>
    <col min="276" max="276" width="26.1640625" style="3022" customWidth="1"/>
    <col min="277" max="512" width="8.83203125" style="3022"/>
    <col min="513" max="513" width="9.5" style="3022" customWidth="1"/>
    <col min="514" max="514" width="8.83203125" style="3022"/>
    <col min="515" max="517" width="12.83203125" style="3022" customWidth="1"/>
    <col min="518" max="518" width="47.5" style="3022" customWidth="1"/>
    <col min="519" max="519" width="13" style="3022" customWidth="1"/>
    <col min="520" max="521" width="8.83203125" style="3022"/>
    <col min="522" max="522" width="5.6640625" style="3022" customWidth="1"/>
    <col min="523" max="523" width="11.6640625" style="3022" customWidth="1"/>
    <col min="524" max="525" width="10.6640625" style="3022" customWidth="1"/>
    <col min="526" max="526" width="10" style="3022" customWidth="1"/>
    <col min="527" max="528" width="10.5" style="3022" bestFit="1" customWidth="1"/>
    <col min="529" max="529" width="10" style="3022" customWidth="1"/>
    <col min="530" max="530" width="10.1640625" style="3022" customWidth="1"/>
    <col min="531" max="531" width="10" style="3022" customWidth="1"/>
    <col min="532" max="532" width="26.1640625" style="3022" customWidth="1"/>
    <col min="533" max="768" width="8.83203125" style="3022"/>
    <col min="769" max="769" width="9.5" style="3022" customWidth="1"/>
    <col min="770" max="770" width="8.83203125" style="3022"/>
    <col min="771" max="773" width="12.83203125" style="3022" customWidth="1"/>
    <col min="774" max="774" width="47.5" style="3022" customWidth="1"/>
    <col min="775" max="775" width="13" style="3022" customWidth="1"/>
    <col min="776" max="777" width="8.83203125" style="3022"/>
    <col min="778" max="778" width="5.6640625" style="3022" customWidth="1"/>
    <col min="779" max="779" width="11.6640625" style="3022" customWidth="1"/>
    <col min="780" max="781" width="10.6640625" style="3022" customWidth="1"/>
    <col min="782" max="782" width="10" style="3022" customWidth="1"/>
    <col min="783" max="784" width="10.5" style="3022" bestFit="1" customWidth="1"/>
    <col min="785" max="785" width="10" style="3022" customWidth="1"/>
    <col min="786" max="786" width="10.1640625" style="3022" customWidth="1"/>
    <col min="787" max="787" width="10" style="3022" customWidth="1"/>
    <col min="788" max="788" width="26.1640625" style="3022" customWidth="1"/>
    <col min="789" max="1024" width="8.83203125" style="3022"/>
    <col min="1025" max="1025" width="9.5" style="3022" customWidth="1"/>
    <col min="1026" max="1026" width="8.83203125" style="3022"/>
    <col min="1027" max="1029" width="12.83203125" style="3022" customWidth="1"/>
    <col min="1030" max="1030" width="47.5" style="3022" customWidth="1"/>
    <col min="1031" max="1031" width="13" style="3022" customWidth="1"/>
    <col min="1032" max="1033" width="8.83203125" style="3022"/>
    <col min="1034" max="1034" width="5.6640625" style="3022" customWidth="1"/>
    <col min="1035" max="1035" width="11.6640625" style="3022" customWidth="1"/>
    <col min="1036" max="1037" width="10.6640625" style="3022" customWidth="1"/>
    <col min="1038" max="1038" width="10" style="3022" customWidth="1"/>
    <col min="1039" max="1040" width="10.5" style="3022" bestFit="1" customWidth="1"/>
    <col min="1041" max="1041" width="10" style="3022" customWidth="1"/>
    <col min="1042" max="1042" width="10.1640625" style="3022" customWidth="1"/>
    <col min="1043" max="1043" width="10" style="3022" customWidth="1"/>
    <col min="1044" max="1044" width="26.1640625" style="3022" customWidth="1"/>
    <col min="1045" max="1280" width="8.83203125" style="3022"/>
    <col min="1281" max="1281" width="9.5" style="3022" customWidth="1"/>
    <col min="1282" max="1282" width="8.83203125" style="3022"/>
    <col min="1283" max="1285" width="12.83203125" style="3022" customWidth="1"/>
    <col min="1286" max="1286" width="47.5" style="3022" customWidth="1"/>
    <col min="1287" max="1287" width="13" style="3022" customWidth="1"/>
    <col min="1288" max="1289" width="8.83203125" style="3022"/>
    <col min="1290" max="1290" width="5.6640625" style="3022" customWidth="1"/>
    <col min="1291" max="1291" width="11.6640625" style="3022" customWidth="1"/>
    <col min="1292" max="1293" width="10.6640625" style="3022" customWidth="1"/>
    <col min="1294" max="1294" width="10" style="3022" customWidth="1"/>
    <col min="1295" max="1296" width="10.5" style="3022" bestFit="1" customWidth="1"/>
    <col min="1297" max="1297" width="10" style="3022" customWidth="1"/>
    <col min="1298" max="1298" width="10.1640625" style="3022" customWidth="1"/>
    <col min="1299" max="1299" width="10" style="3022" customWidth="1"/>
    <col min="1300" max="1300" width="26.1640625" style="3022" customWidth="1"/>
    <col min="1301" max="1536" width="8.83203125" style="3022"/>
    <col min="1537" max="1537" width="9.5" style="3022" customWidth="1"/>
    <col min="1538" max="1538" width="8.83203125" style="3022"/>
    <col min="1539" max="1541" width="12.83203125" style="3022" customWidth="1"/>
    <col min="1542" max="1542" width="47.5" style="3022" customWidth="1"/>
    <col min="1543" max="1543" width="13" style="3022" customWidth="1"/>
    <col min="1544" max="1545" width="8.83203125" style="3022"/>
    <col min="1546" max="1546" width="5.6640625" style="3022" customWidth="1"/>
    <col min="1547" max="1547" width="11.6640625" style="3022" customWidth="1"/>
    <col min="1548" max="1549" width="10.6640625" style="3022" customWidth="1"/>
    <col min="1550" max="1550" width="10" style="3022" customWidth="1"/>
    <col min="1551" max="1552" width="10.5" style="3022" bestFit="1" customWidth="1"/>
    <col min="1553" max="1553" width="10" style="3022" customWidth="1"/>
    <col min="1554" max="1554" width="10.1640625" style="3022" customWidth="1"/>
    <col min="1555" max="1555" width="10" style="3022" customWidth="1"/>
    <col min="1556" max="1556" width="26.1640625" style="3022" customWidth="1"/>
    <col min="1557" max="1792" width="8.83203125" style="3022"/>
    <col min="1793" max="1793" width="9.5" style="3022" customWidth="1"/>
    <col min="1794" max="1794" width="8.83203125" style="3022"/>
    <col min="1795" max="1797" width="12.83203125" style="3022" customWidth="1"/>
    <col min="1798" max="1798" width="47.5" style="3022" customWidth="1"/>
    <col min="1799" max="1799" width="13" style="3022" customWidth="1"/>
    <col min="1800" max="1801" width="8.83203125" style="3022"/>
    <col min="1802" max="1802" width="5.6640625" style="3022" customWidth="1"/>
    <col min="1803" max="1803" width="11.6640625" style="3022" customWidth="1"/>
    <col min="1804" max="1805" width="10.6640625" style="3022" customWidth="1"/>
    <col min="1806" max="1806" width="10" style="3022" customWidth="1"/>
    <col min="1807" max="1808" width="10.5" style="3022" bestFit="1" customWidth="1"/>
    <col min="1809" max="1809" width="10" style="3022" customWidth="1"/>
    <col min="1810" max="1810" width="10.1640625" style="3022" customWidth="1"/>
    <col min="1811" max="1811" width="10" style="3022" customWidth="1"/>
    <col min="1812" max="1812" width="26.1640625" style="3022" customWidth="1"/>
    <col min="1813" max="2048" width="8.83203125" style="3022"/>
    <col min="2049" max="2049" width="9.5" style="3022" customWidth="1"/>
    <col min="2050" max="2050" width="8.83203125" style="3022"/>
    <col min="2051" max="2053" width="12.83203125" style="3022" customWidth="1"/>
    <col min="2054" max="2054" width="47.5" style="3022" customWidth="1"/>
    <col min="2055" max="2055" width="13" style="3022" customWidth="1"/>
    <col min="2056" max="2057" width="8.83203125" style="3022"/>
    <col min="2058" max="2058" width="5.6640625" style="3022" customWidth="1"/>
    <col min="2059" max="2059" width="11.6640625" style="3022" customWidth="1"/>
    <col min="2060" max="2061" width="10.6640625" style="3022" customWidth="1"/>
    <col min="2062" max="2062" width="10" style="3022" customWidth="1"/>
    <col min="2063" max="2064" width="10.5" style="3022" bestFit="1" customWidth="1"/>
    <col min="2065" max="2065" width="10" style="3022" customWidth="1"/>
    <col min="2066" max="2066" width="10.1640625" style="3022" customWidth="1"/>
    <col min="2067" max="2067" width="10" style="3022" customWidth="1"/>
    <col min="2068" max="2068" width="26.1640625" style="3022" customWidth="1"/>
    <col min="2069" max="2304" width="8.83203125" style="3022"/>
    <col min="2305" max="2305" width="9.5" style="3022" customWidth="1"/>
    <col min="2306" max="2306" width="8.83203125" style="3022"/>
    <col min="2307" max="2309" width="12.83203125" style="3022" customWidth="1"/>
    <col min="2310" max="2310" width="47.5" style="3022" customWidth="1"/>
    <col min="2311" max="2311" width="13" style="3022" customWidth="1"/>
    <col min="2312" max="2313" width="8.83203125" style="3022"/>
    <col min="2314" max="2314" width="5.6640625" style="3022" customWidth="1"/>
    <col min="2315" max="2315" width="11.6640625" style="3022" customWidth="1"/>
    <col min="2316" max="2317" width="10.6640625" style="3022" customWidth="1"/>
    <col min="2318" max="2318" width="10" style="3022" customWidth="1"/>
    <col min="2319" max="2320" width="10.5" style="3022" bestFit="1" customWidth="1"/>
    <col min="2321" max="2321" width="10" style="3022" customWidth="1"/>
    <col min="2322" max="2322" width="10.1640625" style="3022" customWidth="1"/>
    <col min="2323" max="2323" width="10" style="3022" customWidth="1"/>
    <col min="2324" max="2324" width="26.1640625" style="3022" customWidth="1"/>
    <col min="2325" max="2560" width="8.83203125" style="3022"/>
    <col min="2561" max="2561" width="9.5" style="3022" customWidth="1"/>
    <col min="2562" max="2562" width="8.83203125" style="3022"/>
    <col min="2563" max="2565" width="12.83203125" style="3022" customWidth="1"/>
    <col min="2566" max="2566" width="47.5" style="3022" customWidth="1"/>
    <col min="2567" max="2567" width="13" style="3022" customWidth="1"/>
    <col min="2568" max="2569" width="8.83203125" style="3022"/>
    <col min="2570" max="2570" width="5.6640625" style="3022" customWidth="1"/>
    <col min="2571" max="2571" width="11.6640625" style="3022" customWidth="1"/>
    <col min="2572" max="2573" width="10.6640625" style="3022" customWidth="1"/>
    <col min="2574" max="2574" width="10" style="3022" customWidth="1"/>
    <col min="2575" max="2576" width="10.5" style="3022" bestFit="1" customWidth="1"/>
    <col min="2577" max="2577" width="10" style="3022" customWidth="1"/>
    <col min="2578" max="2578" width="10.1640625" style="3022" customWidth="1"/>
    <col min="2579" max="2579" width="10" style="3022" customWidth="1"/>
    <col min="2580" max="2580" width="26.1640625" style="3022" customWidth="1"/>
    <col min="2581" max="2816" width="8.83203125" style="3022"/>
    <col min="2817" max="2817" width="9.5" style="3022" customWidth="1"/>
    <col min="2818" max="2818" width="8.83203125" style="3022"/>
    <col min="2819" max="2821" width="12.83203125" style="3022" customWidth="1"/>
    <col min="2822" max="2822" width="47.5" style="3022" customWidth="1"/>
    <col min="2823" max="2823" width="13" style="3022" customWidth="1"/>
    <col min="2824" max="2825" width="8.83203125" style="3022"/>
    <col min="2826" max="2826" width="5.6640625" style="3022" customWidth="1"/>
    <col min="2827" max="2827" width="11.6640625" style="3022" customWidth="1"/>
    <col min="2828" max="2829" width="10.6640625" style="3022" customWidth="1"/>
    <col min="2830" max="2830" width="10" style="3022" customWidth="1"/>
    <col min="2831" max="2832" width="10.5" style="3022" bestFit="1" customWidth="1"/>
    <col min="2833" max="2833" width="10" style="3022" customWidth="1"/>
    <col min="2834" max="2834" width="10.1640625" style="3022" customWidth="1"/>
    <col min="2835" max="2835" width="10" style="3022" customWidth="1"/>
    <col min="2836" max="2836" width="26.1640625" style="3022" customWidth="1"/>
    <col min="2837" max="3072" width="8.83203125" style="3022"/>
    <col min="3073" max="3073" width="9.5" style="3022" customWidth="1"/>
    <col min="3074" max="3074" width="8.83203125" style="3022"/>
    <col min="3075" max="3077" width="12.83203125" style="3022" customWidth="1"/>
    <col min="3078" max="3078" width="47.5" style="3022" customWidth="1"/>
    <col min="3079" max="3079" width="13" style="3022" customWidth="1"/>
    <col min="3080" max="3081" width="8.83203125" style="3022"/>
    <col min="3082" max="3082" width="5.6640625" style="3022" customWidth="1"/>
    <col min="3083" max="3083" width="11.6640625" style="3022" customWidth="1"/>
    <col min="3084" max="3085" width="10.6640625" style="3022" customWidth="1"/>
    <col min="3086" max="3086" width="10" style="3022" customWidth="1"/>
    <col min="3087" max="3088" width="10.5" style="3022" bestFit="1" customWidth="1"/>
    <col min="3089" max="3089" width="10" style="3022" customWidth="1"/>
    <col min="3090" max="3090" width="10.1640625" style="3022" customWidth="1"/>
    <col min="3091" max="3091" width="10" style="3022" customWidth="1"/>
    <col min="3092" max="3092" width="26.1640625" style="3022" customWidth="1"/>
    <col min="3093" max="3328" width="8.83203125" style="3022"/>
    <col min="3329" max="3329" width="9.5" style="3022" customWidth="1"/>
    <col min="3330" max="3330" width="8.83203125" style="3022"/>
    <col min="3331" max="3333" width="12.83203125" style="3022" customWidth="1"/>
    <col min="3334" max="3334" width="47.5" style="3022" customWidth="1"/>
    <col min="3335" max="3335" width="13" style="3022" customWidth="1"/>
    <col min="3336" max="3337" width="8.83203125" style="3022"/>
    <col min="3338" max="3338" width="5.6640625" style="3022" customWidth="1"/>
    <col min="3339" max="3339" width="11.6640625" style="3022" customWidth="1"/>
    <col min="3340" max="3341" width="10.6640625" style="3022" customWidth="1"/>
    <col min="3342" max="3342" width="10" style="3022" customWidth="1"/>
    <col min="3343" max="3344" width="10.5" style="3022" bestFit="1" customWidth="1"/>
    <col min="3345" max="3345" width="10" style="3022" customWidth="1"/>
    <col min="3346" max="3346" width="10.1640625" style="3022" customWidth="1"/>
    <col min="3347" max="3347" width="10" style="3022" customWidth="1"/>
    <col min="3348" max="3348" width="26.1640625" style="3022" customWidth="1"/>
    <col min="3349" max="3584" width="8.83203125" style="3022"/>
    <col min="3585" max="3585" width="9.5" style="3022" customWidth="1"/>
    <col min="3586" max="3586" width="8.83203125" style="3022"/>
    <col min="3587" max="3589" width="12.83203125" style="3022" customWidth="1"/>
    <col min="3590" max="3590" width="47.5" style="3022" customWidth="1"/>
    <col min="3591" max="3591" width="13" style="3022" customWidth="1"/>
    <col min="3592" max="3593" width="8.83203125" style="3022"/>
    <col min="3594" max="3594" width="5.6640625" style="3022" customWidth="1"/>
    <col min="3595" max="3595" width="11.6640625" style="3022" customWidth="1"/>
    <col min="3596" max="3597" width="10.6640625" style="3022" customWidth="1"/>
    <col min="3598" max="3598" width="10" style="3022" customWidth="1"/>
    <col min="3599" max="3600" width="10.5" style="3022" bestFit="1" customWidth="1"/>
    <col min="3601" max="3601" width="10" style="3022" customWidth="1"/>
    <col min="3602" max="3602" width="10.1640625" style="3022" customWidth="1"/>
    <col min="3603" max="3603" width="10" style="3022" customWidth="1"/>
    <col min="3604" max="3604" width="26.1640625" style="3022" customWidth="1"/>
    <col min="3605" max="3840" width="8.83203125" style="3022"/>
    <col min="3841" max="3841" width="9.5" style="3022" customWidth="1"/>
    <col min="3842" max="3842" width="8.83203125" style="3022"/>
    <col min="3843" max="3845" width="12.83203125" style="3022" customWidth="1"/>
    <col min="3846" max="3846" width="47.5" style="3022" customWidth="1"/>
    <col min="3847" max="3847" width="13" style="3022" customWidth="1"/>
    <col min="3848" max="3849" width="8.83203125" style="3022"/>
    <col min="3850" max="3850" width="5.6640625" style="3022" customWidth="1"/>
    <col min="3851" max="3851" width="11.6640625" style="3022" customWidth="1"/>
    <col min="3852" max="3853" width="10.6640625" style="3022" customWidth="1"/>
    <col min="3854" max="3854" width="10" style="3022" customWidth="1"/>
    <col min="3855" max="3856" width="10.5" style="3022" bestFit="1" customWidth="1"/>
    <col min="3857" max="3857" width="10" style="3022" customWidth="1"/>
    <col min="3858" max="3858" width="10.1640625" style="3022" customWidth="1"/>
    <col min="3859" max="3859" width="10" style="3022" customWidth="1"/>
    <col min="3860" max="3860" width="26.1640625" style="3022" customWidth="1"/>
    <col min="3861" max="4096" width="8.83203125" style="3022"/>
    <col min="4097" max="4097" width="9.5" style="3022" customWidth="1"/>
    <col min="4098" max="4098" width="8.83203125" style="3022"/>
    <col min="4099" max="4101" width="12.83203125" style="3022" customWidth="1"/>
    <col min="4102" max="4102" width="47.5" style="3022" customWidth="1"/>
    <col min="4103" max="4103" width="13" style="3022" customWidth="1"/>
    <col min="4104" max="4105" width="8.83203125" style="3022"/>
    <col min="4106" max="4106" width="5.6640625" style="3022" customWidth="1"/>
    <col min="4107" max="4107" width="11.6640625" style="3022" customWidth="1"/>
    <col min="4108" max="4109" width="10.6640625" style="3022" customWidth="1"/>
    <col min="4110" max="4110" width="10" style="3022" customWidth="1"/>
    <col min="4111" max="4112" width="10.5" style="3022" bestFit="1" customWidth="1"/>
    <col min="4113" max="4113" width="10" style="3022" customWidth="1"/>
    <col min="4114" max="4114" width="10.1640625" style="3022" customWidth="1"/>
    <col min="4115" max="4115" width="10" style="3022" customWidth="1"/>
    <col min="4116" max="4116" width="26.1640625" style="3022" customWidth="1"/>
    <col min="4117" max="4352" width="8.83203125" style="3022"/>
    <col min="4353" max="4353" width="9.5" style="3022" customWidth="1"/>
    <col min="4354" max="4354" width="8.83203125" style="3022"/>
    <col min="4355" max="4357" width="12.83203125" style="3022" customWidth="1"/>
    <col min="4358" max="4358" width="47.5" style="3022" customWidth="1"/>
    <col min="4359" max="4359" width="13" style="3022" customWidth="1"/>
    <col min="4360" max="4361" width="8.83203125" style="3022"/>
    <col min="4362" max="4362" width="5.6640625" style="3022" customWidth="1"/>
    <col min="4363" max="4363" width="11.6640625" style="3022" customWidth="1"/>
    <col min="4364" max="4365" width="10.6640625" style="3022" customWidth="1"/>
    <col min="4366" max="4366" width="10" style="3022" customWidth="1"/>
    <col min="4367" max="4368" width="10.5" style="3022" bestFit="1" customWidth="1"/>
    <col min="4369" max="4369" width="10" style="3022" customWidth="1"/>
    <col min="4370" max="4370" width="10.1640625" style="3022" customWidth="1"/>
    <col min="4371" max="4371" width="10" style="3022" customWidth="1"/>
    <col min="4372" max="4372" width="26.1640625" style="3022" customWidth="1"/>
    <col min="4373" max="4608" width="8.83203125" style="3022"/>
    <col min="4609" max="4609" width="9.5" style="3022" customWidth="1"/>
    <col min="4610" max="4610" width="8.83203125" style="3022"/>
    <col min="4611" max="4613" width="12.83203125" style="3022" customWidth="1"/>
    <col min="4614" max="4614" width="47.5" style="3022" customWidth="1"/>
    <col min="4615" max="4615" width="13" style="3022" customWidth="1"/>
    <col min="4616" max="4617" width="8.83203125" style="3022"/>
    <col min="4618" max="4618" width="5.6640625" style="3022" customWidth="1"/>
    <col min="4619" max="4619" width="11.6640625" style="3022" customWidth="1"/>
    <col min="4620" max="4621" width="10.6640625" style="3022" customWidth="1"/>
    <col min="4622" max="4622" width="10" style="3022" customWidth="1"/>
    <col min="4623" max="4624" width="10.5" style="3022" bestFit="1" customWidth="1"/>
    <col min="4625" max="4625" width="10" style="3022" customWidth="1"/>
    <col min="4626" max="4626" width="10.1640625" style="3022" customWidth="1"/>
    <col min="4627" max="4627" width="10" style="3022" customWidth="1"/>
    <col min="4628" max="4628" width="26.1640625" style="3022" customWidth="1"/>
    <col min="4629" max="4864" width="8.83203125" style="3022"/>
    <col min="4865" max="4865" width="9.5" style="3022" customWidth="1"/>
    <col min="4866" max="4866" width="8.83203125" style="3022"/>
    <col min="4867" max="4869" width="12.83203125" style="3022" customWidth="1"/>
    <col min="4870" max="4870" width="47.5" style="3022" customWidth="1"/>
    <col min="4871" max="4871" width="13" style="3022" customWidth="1"/>
    <col min="4872" max="4873" width="8.83203125" style="3022"/>
    <col min="4874" max="4874" width="5.6640625" style="3022" customWidth="1"/>
    <col min="4875" max="4875" width="11.6640625" style="3022" customWidth="1"/>
    <col min="4876" max="4877" width="10.6640625" style="3022" customWidth="1"/>
    <col min="4878" max="4878" width="10" style="3022" customWidth="1"/>
    <col min="4879" max="4880" width="10.5" style="3022" bestFit="1" customWidth="1"/>
    <col min="4881" max="4881" width="10" style="3022" customWidth="1"/>
    <col min="4882" max="4882" width="10.1640625" style="3022" customWidth="1"/>
    <col min="4883" max="4883" width="10" style="3022" customWidth="1"/>
    <col min="4884" max="4884" width="26.1640625" style="3022" customWidth="1"/>
    <col min="4885" max="5120" width="8.83203125" style="3022"/>
    <col min="5121" max="5121" width="9.5" style="3022" customWidth="1"/>
    <col min="5122" max="5122" width="8.83203125" style="3022"/>
    <col min="5123" max="5125" width="12.83203125" style="3022" customWidth="1"/>
    <col min="5126" max="5126" width="47.5" style="3022" customWidth="1"/>
    <col min="5127" max="5127" width="13" style="3022" customWidth="1"/>
    <col min="5128" max="5129" width="8.83203125" style="3022"/>
    <col min="5130" max="5130" width="5.6640625" style="3022" customWidth="1"/>
    <col min="5131" max="5131" width="11.6640625" style="3022" customWidth="1"/>
    <col min="5132" max="5133" width="10.6640625" style="3022" customWidth="1"/>
    <col min="5134" max="5134" width="10" style="3022" customWidth="1"/>
    <col min="5135" max="5136" width="10.5" style="3022" bestFit="1" customWidth="1"/>
    <col min="5137" max="5137" width="10" style="3022" customWidth="1"/>
    <col min="5138" max="5138" width="10.1640625" style="3022" customWidth="1"/>
    <col min="5139" max="5139" width="10" style="3022" customWidth="1"/>
    <col min="5140" max="5140" width="26.1640625" style="3022" customWidth="1"/>
    <col min="5141" max="5376" width="8.83203125" style="3022"/>
    <col min="5377" max="5377" width="9.5" style="3022" customWidth="1"/>
    <col min="5378" max="5378" width="8.83203125" style="3022"/>
    <col min="5379" max="5381" width="12.83203125" style="3022" customWidth="1"/>
    <col min="5382" max="5382" width="47.5" style="3022" customWidth="1"/>
    <col min="5383" max="5383" width="13" style="3022" customWidth="1"/>
    <col min="5384" max="5385" width="8.83203125" style="3022"/>
    <col min="5386" max="5386" width="5.6640625" style="3022" customWidth="1"/>
    <col min="5387" max="5387" width="11.6640625" style="3022" customWidth="1"/>
    <col min="5388" max="5389" width="10.6640625" style="3022" customWidth="1"/>
    <col min="5390" max="5390" width="10" style="3022" customWidth="1"/>
    <col min="5391" max="5392" width="10.5" style="3022" bestFit="1" customWidth="1"/>
    <col min="5393" max="5393" width="10" style="3022" customWidth="1"/>
    <col min="5394" max="5394" width="10.1640625" style="3022" customWidth="1"/>
    <col min="5395" max="5395" width="10" style="3022" customWidth="1"/>
    <col min="5396" max="5396" width="26.1640625" style="3022" customWidth="1"/>
    <col min="5397" max="5632" width="8.83203125" style="3022"/>
    <col min="5633" max="5633" width="9.5" style="3022" customWidth="1"/>
    <col min="5634" max="5634" width="8.83203125" style="3022"/>
    <col min="5635" max="5637" width="12.83203125" style="3022" customWidth="1"/>
    <col min="5638" max="5638" width="47.5" style="3022" customWidth="1"/>
    <col min="5639" max="5639" width="13" style="3022" customWidth="1"/>
    <col min="5640" max="5641" width="8.83203125" style="3022"/>
    <col min="5642" max="5642" width="5.6640625" style="3022" customWidth="1"/>
    <col min="5643" max="5643" width="11.6640625" style="3022" customWidth="1"/>
    <col min="5644" max="5645" width="10.6640625" style="3022" customWidth="1"/>
    <col min="5646" max="5646" width="10" style="3022" customWidth="1"/>
    <col min="5647" max="5648" width="10.5" style="3022" bestFit="1" customWidth="1"/>
    <col min="5649" max="5649" width="10" style="3022" customWidth="1"/>
    <col min="5650" max="5650" width="10.1640625" style="3022" customWidth="1"/>
    <col min="5651" max="5651" width="10" style="3022" customWidth="1"/>
    <col min="5652" max="5652" width="26.1640625" style="3022" customWidth="1"/>
    <col min="5653" max="5888" width="8.83203125" style="3022"/>
    <col min="5889" max="5889" width="9.5" style="3022" customWidth="1"/>
    <col min="5890" max="5890" width="8.83203125" style="3022"/>
    <col min="5891" max="5893" width="12.83203125" style="3022" customWidth="1"/>
    <col min="5894" max="5894" width="47.5" style="3022" customWidth="1"/>
    <col min="5895" max="5895" width="13" style="3022" customWidth="1"/>
    <col min="5896" max="5897" width="8.83203125" style="3022"/>
    <col min="5898" max="5898" width="5.6640625" style="3022" customWidth="1"/>
    <col min="5899" max="5899" width="11.6640625" style="3022" customWidth="1"/>
    <col min="5900" max="5901" width="10.6640625" style="3022" customWidth="1"/>
    <col min="5902" max="5902" width="10" style="3022" customWidth="1"/>
    <col min="5903" max="5904" width="10.5" style="3022" bestFit="1" customWidth="1"/>
    <col min="5905" max="5905" width="10" style="3022" customWidth="1"/>
    <col min="5906" max="5906" width="10.1640625" style="3022" customWidth="1"/>
    <col min="5907" max="5907" width="10" style="3022" customWidth="1"/>
    <col min="5908" max="5908" width="26.1640625" style="3022" customWidth="1"/>
    <col min="5909" max="6144" width="8.83203125" style="3022"/>
    <col min="6145" max="6145" width="9.5" style="3022" customWidth="1"/>
    <col min="6146" max="6146" width="8.83203125" style="3022"/>
    <col min="6147" max="6149" width="12.83203125" style="3022" customWidth="1"/>
    <col min="6150" max="6150" width="47.5" style="3022" customWidth="1"/>
    <col min="6151" max="6151" width="13" style="3022" customWidth="1"/>
    <col min="6152" max="6153" width="8.83203125" style="3022"/>
    <col min="6154" max="6154" width="5.6640625" style="3022" customWidth="1"/>
    <col min="6155" max="6155" width="11.6640625" style="3022" customWidth="1"/>
    <col min="6156" max="6157" width="10.6640625" style="3022" customWidth="1"/>
    <col min="6158" max="6158" width="10" style="3022" customWidth="1"/>
    <col min="6159" max="6160" width="10.5" style="3022" bestFit="1" customWidth="1"/>
    <col min="6161" max="6161" width="10" style="3022" customWidth="1"/>
    <col min="6162" max="6162" width="10.1640625" style="3022" customWidth="1"/>
    <col min="6163" max="6163" width="10" style="3022" customWidth="1"/>
    <col min="6164" max="6164" width="26.1640625" style="3022" customWidth="1"/>
    <col min="6165" max="6400" width="8.83203125" style="3022"/>
    <col min="6401" max="6401" width="9.5" style="3022" customWidth="1"/>
    <col min="6402" max="6402" width="8.83203125" style="3022"/>
    <col min="6403" max="6405" width="12.83203125" style="3022" customWidth="1"/>
    <col min="6406" max="6406" width="47.5" style="3022" customWidth="1"/>
    <col min="6407" max="6407" width="13" style="3022" customWidth="1"/>
    <col min="6408" max="6409" width="8.83203125" style="3022"/>
    <col min="6410" max="6410" width="5.6640625" style="3022" customWidth="1"/>
    <col min="6411" max="6411" width="11.6640625" style="3022" customWidth="1"/>
    <col min="6412" max="6413" width="10.6640625" style="3022" customWidth="1"/>
    <col min="6414" max="6414" width="10" style="3022" customWidth="1"/>
    <col min="6415" max="6416" width="10.5" style="3022" bestFit="1" customWidth="1"/>
    <col min="6417" max="6417" width="10" style="3022" customWidth="1"/>
    <col min="6418" max="6418" width="10.1640625" style="3022" customWidth="1"/>
    <col min="6419" max="6419" width="10" style="3022" customWidth="1"/>
    <col min="6420" max="6420" width="26.1640625" style="3022" customWidth="1"/>
    <col min="6421" max="6656" width="8.83203125" style="3022"/>
    <col min="6657" max="6657" width="9.5" style="3022" customWidth="1"/>
    <col min="6658" max="6658" width="8.83203125" style="3022"/>
    <col min="6659" max="6661" width="12.83203125" style="3022" customWidth="1"/>
    <col min="6662" max="6662" width="47.5" style="3022" customWidth="1"/>
    <col min="6663" max="6663" width="13" style="3022" customWidth="1"/>
    <col min="6664" max="6665" width="8.83203125" style="3022"/>
    <col min="6666" max="6666" width="5.6640625" style="3022" customWidth="1"/>
    <col min="6667" max="6667" width="11.6640625" style="3022" customWidth="1"/>
    <col min="6668" max="6669" width="10.6640625" style="3022" customWidth="1"/>
    <col min="6670" max="6670" width="10" style="3022" customWidth="1"/>
    <col min="6671" max="6672" width="10.5" style="3022" bestFit="1" customWidth="1"/>
    <col min="6673" max="6673" width="10" style="3022" customWidth="1"/>
    <col min="6674" max="6674" width="10.1640625" style="3022" customWidth="1"/>
    <col min="6675" max="6675" width="10" style="3022" customWidth="1"/>
    <col min="6676" max="6676" width="26.1640625" style="3022" customWidth="1"/>
    <col min="6677" max="6912" width="8.83203125" style="3022"/>
    <col min="6913" max="6913" width="9.5" style="3022" customWidth="1"/>
    <col min="6914" max="6914" width="8.83203125" style="3022"/>
    <col min="6915" max="6917" width="12.83203125" style="3022" customWidth="1"/>
    <col min="6918" max="6918" width="47.5" style="3022" customWidth="1"/>
    <col min="6919" max="6919" width="13" style="3022" customWidth="1"/>
    <col min="6920" max="6921" width="8.83203125" style="3022"/>
    <col min="6922" max="6922" width="5.6640625" style="3022" customWidth="1"/>
    <col min="6923" max="6923" width="11.6640625" style="3022" customWidth="1"/>
    <col min="6924" max="6925" width="10.6640625" style="3022" customWidth="1"/>
    <col min="6926" max="6926" width="10" style="3022" customWidth="1"/>
    <col min="6927" max="6928" width="10.5" style="3022" bestFit="1" customWidth="1"/>
    <col min="6929" max="6929" width="10" style="3022" customWidth="1"/>
    <col min="6930" max="6930" width="10.1640625" style="3022" customWidth="1"/>
    <col min="6931" max="6931" width="10" style="3022" customWidth="1"/>
    <col min="6932" max="6932" width="26.1640625" style="3022" customWidth="1"/>
    <col min="6933" max="7168" width="8.83203125" style="3022"/>
    <col min="7169" max="7169" width="9.5" style="3022" customWidth="1"/>
    <col min="7170" max="7170" width="8.83203125" style="3022"/>
    <col min="7171" max="7173" width="12.83203125" style="3022" customWidth="1"/>
    <col min="7174" max="7174" width="47.5" style="3022" customWidth="1"/>
    <col min="7175" max="7175" width="13" style="3022" customWidth="1"/>
    <col min="7176" max="7177" width="8.83203125" style="3022"/>
    <col min="7178" max="7178" width="5.6640625" style="3022" customWidth="1"/>
    <col min="7179" max="7179" width="11.6640625" style="3022" customWidth="1"/>
    <col min="7180" max="7181" width="10.6640625" style="3022" customWidth="1"/>
    <col min="7182" max="7182" width="10" style="3022" customWidth="1"/>
    <col min="7183" max="7184" width="10.5" style="3022" bestFit="1" customWidth="1"/>
    <col min="7185" max="7185" width="10" style="3022" customWidth="1"/>
    <col min="7186" max="7186" width="10.1640625" style="3022" customWidth="1"/>
    <col min="7187" max="7187" width="10" style="3022" customWidth="1"/>
    <col min="7188" max="7188" width="26.1640625" style="3022" customWidth="1"/>
    <col min="7189" max="7424" width="8.83203125" style="3022"/>
    <col min="7425" max="7425" width="9.5" style="3022" customWidth="1"/>
    <col min="7426" max="7426" width="8.83203125" style="3022"/>
    <col min="7427" max="7429" width="12.83203125" style="3022" customWidth="1"/>
    <col min="7430" max="7430" width="47.5" style="3022" customWidth="1"/>
    <col min="7431" max="7431" width="13" style="3022" customWidth="1"/>
    <col min="7432" max="7433" width="8.83203125" style="3022"/>
    <col min="7434" max="7434" width="5.6640625" style="3022" customWidth="1"/>
    <col min="7435" max="7435" width="11.6640625" style="3022" customWidth="1"/>
    <col min="7436" max="7437" width="10.6640625" style="3022" customWidth="1"/>
    <col min="7438" max="7438" width="10" style="3022" customWidth="1"/>
    <col min="7439" max="7440" width="10.5" style="3022" bestFit="1" customWidth="1"/>
    <col min="7441" max="7441" width="10" style="3022" customWidth="1"/>
    <col min="7442" max="7442" width="10.1640625" style="3022" customWidth="1"/>
    <col min="7443" max="7443" width="10" style="3022" customWidth="1"/>
    <col min="7444" max="7444" width="26.1640625" style="3022" customWidth="1"/>
    <col min="7445" max="7680" width="8.83203125" style="3022"/>
    <col min="7681" max="7681" width="9.5" style="3022" customWidth="1"/>
    <col min="7682" max="7682" width="8.83203125" style="3022"/>
    <col min="7683" max="7685" width="12.83203125" style="3022" customWidth="1"/>
    <col min="7686" max="7686" width="47.5" style="3022" customWidth="1"/>
    <col min="7687" max="7687" width="13" style="3022" customWidth="1"/>
    <col min="7688" max="7689" width="8.83203125" style="3022"/>
    <col min="7690" max="7690" width="5.6640625" style="3022" customWidth="1"/>
    <col min="7691" max="7691" width="11.6640625" style="3022" customWidth="1"/>
    <col min="7692" max="7693" width="10.6640625" style="3022" customWidth="1"/>
    <col min="7694" max="7694" width="10" style="3022" customWidth="1"/>
    <col min="7695" max="7696" width="10.5" style="3022" bestFit="1" customWidth="1"/>
    <col min="7697" max="7697" width="10" style="3022" customWidth="1"/>
    <col min="7698" max="7698" width="10.1640625" style="3022" customWidth="1"/>
    <col min="7699" max="7699" width="10" style="3022" customWidth="1"/>
    <col min="7700" max="7700" width="26.1640625" style="3022" customWidth="1"/>
    <col min="7701" max="7936" width="8.83203125" style="3022"/>
    <col min="7937" max="7937" width="9.5" style="3022" customWidth="1"/>
    <col min="7938" max="7938" width="8.83203125" style="3022"/>
    <col min="7939" max="7941" width="12.83203125" style="3022" customWidth="1"/>
    <col min="7942" max="7942" width="47.5" style="3022" customWidth="1"/>
    <col min="7943" max="7943" width="13" style="3022" customWidth="1"/>
    <col min="7944" max="7945" width="8.83203125" style="3022"/>
    <col min="7946" max="7946" width="5.6640625" style="3022" customWidth="1"/>
    <col min="7947" max="7947" width="11.6640625" style="3022" customWidth="1"/>
    <col min="7948" max="7949" width="10.6640625" style="3022" customWidth="1"/>
    <col min="7950" max="7950" width="10" style="3022" customWidth="1"/>
    <col min="7951" max="7952" width="10.5" style="3022" bestFit="1" customWidth="1"/>
    <col min="7953" max="7953" width="10" style="3022" customWidth="1"/>
    <col min="7954" max="7954" width="10.1640625" style="3022" customWidth="1"/>
    <col min="7955" max="7955" width="10" style="3022" customWidth="1"/>
    <col min="7956" max="7956" width="26.1640625" style="3022" customWidth="1"/>
    <col min="7957" max="8192" width="8.83203125" style="3022"/>
    <col min="8193" max="8193" width="9.5" style="3022" customWidth="1"/>
    <col min="8194" max="8194" width="8.83203125" style="3022"/>
    <col min="8195" max="8197" width="12.83203125" style="3022" customWidth="1"/>
    <col min="8198" max="8198" width="47.5" style="3022" customWidth="1"/>
    <col min="8199" max="8199" width="13" style="3022" customWidth="1"/>
    <col min="8200" max="8201" width="8.83203125" style="3022"/>
    <col min="8202" max="8202" width="5.6640625" style="3022" customWidth="1"/>
    <col min="8203" max="8203" width="11.6640625" style="3022" customWidth="1"/>
    <col min="8204" max="8205" width="10.6640625" style="3022" customWidth="1"/>
    <col min="8206" max="8206" width="10" style="3022" customWidth="1"/>
    <col min="8207" max="8208" width="10.5" style="3022" bestFit="1" customWidth="1"/>
    <col min="8209" max="8209" width="10" style="3022" customWidth="1"/>
    <col min="8210" max="8210" width="10.1640625" style="3022" customWidth="1"/>
    <col min="8211" max="8211" width="10" style="3022" customWidth="1"/>
    <col min="8212" max="8212" width="26.1640625" style="3022" customWidth="1"/>
    <col min="8213" max="8448" width="8.83203125" style="3022"/>
    <col min="8449" max="8449" width="9.5" style="3022" customWidth="1"/>
    <col min="8450" max="8450" width="8.83203125" style="3022"/>
    <col min="8451" max="8453" width="12.83203125" style="3022" customWidth="1"/>
    <col min="8454" max="8454" width="47.5" style="3022" customWidth="1"/>
    <col min="8455" max="8455" width="13" style="3022" customWidth="1"/>
    <col min="8456" max="8457" width="8.83203125" style="3022"/>
    <col min="8458" max="8458" width="5.6640625" style="3022" customWidth="1"/>
    <col min="8459" max="8459" width="11.6640625" style="3022" customWidth="1"/>
    <col min="8460" max="8461" width="10.6640625" style="3022" customWidth="1"/>
    <col min="8462" max="8462" width="10" style="3022" customWidth="1"/>
    <col min="8463" max="8464" width="10.5" style="3022" bestFit="1" customWidth="1"/>
    <col min="8465" max="8465" width="10" style="3022" customWidth="1"/>
    <col min="8466" max="8466" width="10.1640625" style="3022" customWidth="1"/>
    <col min="8467" max="8467" width="10" style="3022" customWidth="1"/>
    <col min="8468" max="8468" width="26.1640625" style="3022" customWidth="1"/>
    <col min="8469" max="8704" width="8.83203125" style="3022"/>
    <col min="8705" max="8705" width="9.5" style="3022" customWidth="1"/>
    <col min="8706" max="8706" width="8.83203125" style="3022"/>
    <col min="8707" max="8709" width="12.83203125" style="3022" customWidth="1"/>
    <col min="8710" max="8710" width="47.5" style="3022" customWidth="1"/>
    <col min="8711" max="8711" width="13" style="3022" customWidth="1"/>
    <col min="8712" max="8713" width="8.83203125" style="3022"/>
    <col min="8714" max="8714" width="5.6640625" style="3022" customWidth="1"/>
    <col min="8715" max="8715" width="11.6640625" style="3022" customWidth="1"/>
    <col min="8716" max="8717" width="10.6640625" style="3022" customWidth="1"/>
    <col min="8718" max="8718" width="10" style="3022" customWidth="1"/>
    <col min="8719" max="8720" width="10.5" style="3022" bestFit="1" customWidth="1"/>
    <col min="8721" max="8721" width="10" style="3022" customWidth="1"/>
    <col min="8722" max="8722" width="10.1640625" style="3022" customWidth="1"/>
    <col min="8723" max="8723" width="10" style="3022" customWidth="1"/>
    <col min="8724" max="8724" width="26.1640625" style="3022" customWidth="1"/>
    <col min="8725" max="8960" width="8.83203125" style="3022"/>
    <col min="8961" max="8961" width="9.5" style="3022" customWidth="1"/>
    <col min="8962" max="8962" width="8.83203125" style="3022"/>
    <col min="8963" max="8965" width="12.83203125" style="3022" customWidth="1"/>
    <col min="8966" max="8966" width="47.5" style="3022" customWidth="1"/>
    <col min="8967" max="8967" width="13" style="3022" customWidth="1"/>
    <col min="8968" max="8969" width="8.83203125" style="3022"/>
    <col min="8970" max="8970" width="5.6640625" style="3022" customWidth="1"/>
    <col min="8971" max="8971" width="11.6640625" style="3022" customWidth="1"/>
    <col min="8972" max="8973" width="10.6640625" style="3022" customWidth="1"/>
    <col min="8974" max="8974" width="10" style="3022" customWidth="1"/>
    <col min="8975" max="8976" width="10.5" style="3022" bestFit="1" customWidth="1"/>
    <col min="8977" max="8977" width="10" style="3022" customWidth="1"/>
    <col min="8978" max="8978" width="10.1640625" style="3022" customWidth="1"/>
    <col min="8979" max="8979" width="10" style="3022" customWidth="1"/>
    <col min="8980" max="8980" width="26.1640625" style="3022" customWidth="1"/>
    <col min="8981" max="9216" width="8.83203125" style="3022"/>
    <col min="9217" max="9217" width="9.5" style="3022" customWidth="1"/>
    <col min="9218" max="9218" width="8.83203125" style="3022"/>
    <col min="9219" max="9221" width="12.83203125" style="3022" customWidth="1"/>
    <col min="9222" max="9222" width="47.5" style="3022" customWidth="1"/>
    <col min="9223" max="9223" width="13" style="3022" customWidth="1"/>
    <col min="9224" max="9225" width="8.83203125" style="3022"/>
    <col min="9226" max="9226" width="5.6640625" style="3022" customWidth="1"/>
    <col min="9227" max="9227" width="11.6640625" style="3022" customWidth="1"/>
    <col min="9228" max="9229" width="10.6640625" style="3022" customWidth="1"/>
    <col min="9230" max="9230" width="10" style="3022" customWidth="1"/>
    <col min="9231" max="9232" width="10.5" style="3022" bestFit="1" customWidth="1"/>
    <col min="9233" max="9233" width="10" style="3022" customWidth="1"/>
    <col min="9234" max="9234" width="10.1640625" style="3022" customWidth="1"/>
    <col min="9235" max="9235" width="10" style="3022" customWidth="1"/>
    <col min="9236" max="9236" width="26.1640625" style="3022" customWidth="1"/>
    <col min="9237" max="9472" width="8.83203125" style="3022"/>
    <col min="9473" max="9473" width="9.5" style="3022" customWidth="1"/>
    <col min="9474" max="9474" width="8.83203125" style="3022"/>
    <col min="9475" max="9477" width="12.83203125" style="3022" customWidth="1"/>
    <col min="9478" max="9478" width="47.5" style="3022" customWidth="1"/>
    <col min="9479" max="9479" width="13" style="3022" customWidth="1"/>
    <col min="9480" max="9481" width="8.83203125" style="3022"/>
    <col min="9482" max="9482" width="5.6640625" style="3022" customWidth="1"/>
    <col min="9483" max="9483" width="11.6640625" style="3022" customWidth="1"/>
    <col min="9484" max="9485" width="10.6640625" style="3022" customWidth="1"/>
    <col min="9486" max="9486" width="10" style="3022" customWidth="1"/>
    <col min="9487" max="9488" width="10.5" style="3022" bestFit="1" customWidth="1"/>
    <col min="9489" max="9489" width="10" style="3022" customWidth="1"/>
    <col min="9490" max="9490" width="10.1640625" style="3022" customWidth="1"/>
    <col min="9491" max="9491" width="10" style="3022" customWidth="1"/>
    <col min="9492" max="9492" width="26.1640625" style="3022" customWidth="1"/>
    <col min="9493" max="9728" width="8.83203125" style="3022"/>
    <col min="9729" max="9729" width="9.5" style="3022" customWidth="1"/>
    <col min="9730" max="9730" width="8.83203125" style="3022"/>
    <col min="9731" max="9733" width="12.83203125" style="3022" customWidth="1"/>
    <col min="9734" max="9734" width="47.5" style="3022" customWidth="1"/>
    <col min="9735" max="9735" width="13" style="3022" customWidth="1"/>
    <col min="9736" max="9737" width="8.83203125" style="3022"/>
    <col min="9738" max="9738" width="5.6640625" style="3022" customWidth="1"/>
    <col min="9739" max="9739" width="11.6640625" style="3022" customWidth="1"/>
    <col min="9740" max="9741" width="10.6640625" style="3022" customWidth="1"/>
    <col min="9742" max="9742" width="10" style="3022" customWidth="1"/>
    <col min="9743" max="9744" width="10.5" style="3022" bestFit="1" customWidth="1"/>
    <col min="9745" max="9745" width="10" style="3022" customWidth="1"/>
    <col min="9746" max="9746" width="10.1640625" style="3022" customWidth="1"/>
    <col min="9747" max="9747" width="10" style="3022" customWidth="1"/>
    <col min="9748" max="9748" width="26.1640625" style="3022" customWidth="1"/>
    <col min="9749" max="9984" width="8.83203125" style="3022"/>
    <col min="9985" max="9985" width="9.5" style="3022" customWidth="1"/>
    <col min="9986" max="9986" width="8.83203125" style="3022"/>
    <col min="9987" max="9989" width="12.83203125" style="3022" customWidth="1"/>
    <col min="9990" max="9990" width="47.5" style="3022" customWidth="1"/>
    <col min="9991" max="9991" width="13" style="3022" customWidth="1"/>
    <col min="9992" max="9993" width="8.83203125" style="3022"/>
    <col min="9994" max="9994" width="5.6640625" style="3022" customWidth="1"/>
    <col min="9995" max="9995" width="11.6640625" style="3022" customWidth="1"/>
    <col min="9996" max="9997" width="10.6640625" style="3022" customWidth="1"/>
    <col min="9998" max="9998" width="10" style="3022" customWidth="1"/>
    <col min="9999" max="10000" width="10.5" style="3022" bestFit="1" customWidth="1"/>
    <col min="10001" max="10001" width="10" style="3022" customWidth="1"/>
    <col min="10002" max="10002" width="10.1640625" style="3022" customWidth="1"/>
    <col min="10003" max="10003" width="10" style="3022" customWidth="1"/>
    <col min="10004" max="10004" width="26.1640625" style="3022" customWidth="1"/>
    <col min="10005" max="10240" width="8.83203125" style="3022"/>
    <col min="10241" max="10241" width="9.5" style="3022" customWidth="1"/>
    <col min="10242" max="10242" width="8.83203125" style="3022"/>
    <col min="10243" max="10245" width="12.83203125" style="3022" customWidth="1"/>
    <col min="10246" max="10246" width="47.5" style="3022" customWidth="1"/>
    <col min="10247" max="10247" width="13" style="3022" customWidth="1"/>
    <col min="10248" max="10249" width="8.83203125" style="3022"/>
    <col min="10250" max="10250" width="5.6640625" style="3022" customWidth="1"/>
    <col min="10251" max="10251" width="11.6640625" style="3022" customWidth="1"/>
    <col min="10252" max="10253" width="10.6640625" style="3022" customWidth="1"/>
    <col min="10254" max="10254" width="10" style="3022" customWidth="1"/>
    <col min="10255" max="10256" width="10.5" style="3022" bestFit="1" customWidth="1"/>
    <col min="10257" max="10257" width="10" style="3022" customWidth="1"/>
    <col min="10258" max="10258" width="10.1640625" style="3022" customWidth="1"/>
    <col min="10259" max="10259" width="10" style="3022" customWidth="1"/>
    <col min="10260" max="10260" width="26.1640625" style="3022" customWidth="1"/>
    <col min="10261" max="10496" width="8.83203125" style="3022"/>
    <col min="10497" max="10497" width="9.5" style="3022" customWidth="1"/>
    <col min="10498" max="10498" width="8.83203125" style="3022"/>
    <col min="10499" max="10501" width="12.83203125" style="3022" customWidth="1"/>
    <col min="10502" max="10502" width="47.5" style="3022" customWidth="1"/>
    <col min="10503" max="10503" width="13" style="3022" customWidth="1"/>
    <col min="10504" max="10505" width="8.83203125" style="3022"/>
    <col min="10506" max="10506" width="5.6640625" style="3022" customWidth="1"/>
    <col min="10507" max="10507" width="11.6640625" style="3022" customWidth="1"/>
    <col min="10508" max="10509" width="10.6640625" style="3022" customWidth="1"/>
    <col min="10510" max="10510" width="10" style="3022" customWidth="1"/>
    <col min="10511" max="10512" width="10.5" style="3022" bestFit="1" customWidth="1"/>
    <col min="10513" max="10513" width="10" style="3022" customWidth="1"/>
    <col min="10514" max="10514" width="10.1640625" style="3022" customWidth="1"/>
    <col min="10515" max="10515" width="10" style="3022" customWidth="1"/>
    <col min="10516" max="10516" width="26.1640625" style="3022" customWidth="1"/>
    <col min="10517" max="10752" width="8.83203125" style="3022"/>
    <col min="10753" max="10753" width="9.5" style="3022" customWidth="1"/>
    <col min="10754" max="10754" width="8.83203125" style="3022"/>
    <col min="10755" max="10757" width="12.83203125" style="3022" customWidth="1"/>
    <col min="10758" max="10758" width="47.5" style="3022" customWidth="1"/>
    <col min="10759" max="10759" width="13" style="3022" customWidth="1"/>
    <col min="10760" max="10761" width="8.83203125" style="3022"/>
    <col min="10762" max="10762" width="5.6640625" style="3022" customWidth="1"/>
    <col min="10763" max="10763" width="11.6640625" style="3022" customWidth="1"/>
    <col min="10764" max="10765" width="10.6640625" style="3022" customWidth="1"/>
    <col min="10766" max="10766" width="10" style="3022" customWidth="1"/>
    <col min="10767" max="10768" width="10.5" style="3022" bestFit="1" customWidth="1"/>
    <col min="10769" max="10769" width="10" style="3022" customWidth="1"/>
    <col min="10770" max="10770" width="10.1640625" style="3022" customWidth="1"/>
    <col min="10771" max="10771" width="10" style="3022" customWidth="1"/>
    <col min="10772" max="10772" width="26.1640625" style="3022" customWidth="1"/>
    <col min="10773" max="11008" width="8.83203125" style="3022"/>
    <col min="11009" max="11009" width="9.5" style="3022" customWidth="1"/>
    <col min="11010" max="11010" width="8.83203125" style="3022"/>
    <col min="11011" max="11013" width="12.83203125" style="3022" customWidth="1"/>
    <col min="11014" max="11014" width="47.5" style="3022" customWidth="1"/>
    <col min="11015" max="11015" width="13" style="3022" customWidth="1"/>
    <col min="11016" max="11017" width="8.83203125" style="3022"/>
    <col min="11018" max="11018" width="5.6640625" style="3022" customWidth="1"/>
    <col min="11019" max="11019" width="11.6640625" style="3022" customWidth="1"/>
    <col min="11020" max="11021" width="10.6640625" style="3022" customWidth="1"/>
    <col min="11022" max="11022" width="10" style="3022" customWidth="1"/>
    <col min="11023" max="11024" width="10.5" style="3022" bestFit="1" customWidth="1"/>
    <col min="11025" max="11025" width="10" style="3022" customWidth="1"/>
    <col min="11026" max="11026" width="10.1640625" style="3022" customWidth="1"/>
    <col min="11027" max="11027" width="10" style="3022" customWidth="1"/>
    <col min="11028" max="11028" width="26.1640625" style="3022" customWidth="1"/>
    <col min="11029" max="11264" width="8.83203125" style="3022"/>
    <col min="11265" max="11265" width="9.5" style="3022" customWidth="1"/>
    <col min="11266" max="11266" width="8.83203125" style="3022"/>
    <col min="11267" max="11269" width="12.83203125" style="3022" customWidth="1"/>
    <col min="11270" max="11270" width="47.5" style="3022" customWidth="1"/>
    <col min="11271" max="11271" width="13" style="3022" customWidth="1"/>
    <col min="11272" max="11273" width="8.83203125" style="3022"/>
    <col min="11274" max="11274" width="5.6640625" style="3022" customWidth="1"/>
    <col min="11275" max="11275" width="11.6640625" style="3022" customWidth="1"/>
    <col min="11276" max="11277" width="10.6640625" style="3022" customWidth="1"/>
    <col min="11278" max="11278" width="10" style="3022" customWidth="1"/>
    <col min="11279" max="11280" width="10.5" style="3022" bestFit="1" customWidth="1"/>
    <col min="11281" max="11281" width="10" style="3022" customWidth="1"/>
    <col min="11282" max="11282" width="10.1640625" style="3022" customWidth="1"/>
    <col min="11283" max="11283" width="10" style="3022" customWidth="1"/>
    <col min="11284" max="11284" width="26.1640625" style="3022" customWidth="1"/>
    <col min="11285" max="11520" width="8.83203125" style="3022"/>
    <col min="11521" max="11521" width="9.5" style="3022" customWidth="1"/>
    <col min="11522" max="11522" width="8.83203125" style="3022"/>
    <col min="11523" max="11525" width="12.83203125" style="3022" customWidth="1"/>
    <col min="11526" max="11526" width="47.5" style="3022" customWidth="1"/>
    <col min="11527" max="11527" width="13" style="3022" customWidth="1"/>
    <col min="11528" max="11529" width="8.83203125" style="3022"/>
    <col min="11530" max="11530" width="5.6640625" style="3022" customWidth="1"/>
    <col min="11531" max="11531" width="11.6640625" style="3022" customWidth="1"/>
    <col min="11532" max="11533" width="10.6640625" style="3022" customWidth="1"/>
    <col min="11534" max="11534" width="10" style="3022" customWidth="1"/>
    <col min="11535" max="11536" width="10.5" style="3022" bestFit="1" customWidth="1"/>
    <col min="11537" max="11537" width="10" style="3022" customWidth="1"/>
    <col min="11538" max="11538" width="10.1640625" style="3022" customWidth="1"/>
    <col min="11539" max="11539" width="10" style="3022" customWidth="1"/>
    <col min="11540" max="11540" width="26.1640625" style="3022" customWidth="1"/>
    <col min="11541" max="11776" width="8.83203125" style="3022"/>
    <col min="11777" max="11777" width="9.5" style="3022" customWidth="1"/>
    <col min="11778" max="11778" width="8.83203125" style="3022"/>
    <col min="11779" max="11781" width="12.83203125" style="3022" customWidth="1"/>
    <col min="11782" max="11782" width="47.5" style="3022" customWidth="1"/>
    <col min="11783" max="11783" width="13" style="3022" customWidth="1"/>
    <col min="11784" max="11785" width="8.83203125" style="3022"/>
    <col min="11786" max="11786" width="5.6640625" style="3022" customWidth="1"/>
    <col min="11787" max="11787" width="11.6640625" style="3022" customWidth="1"/>
    <col min="11788" max="11789" width="10.6640625" style="3022" customWidth="1"/>
    <col min="11790" max="11790" width="10" style="3022" customWidth="1"/>
    <col min="11791" max="11792" width="10.5" style="3022" bestFit="1" customWidth="1"/>
    <col min="11793" max="11793" width="10" style="3022" customWidth="1"/>
    <col min="11794" max="11794" width="10.1640625" style="3022" customWidth="1"/>
    <col min="11795" max="11795" width="10" style="3022" customWidth="1"/>
    <col min="11796" max="11796" width="26.1640625" style="3022" customWidth="1"/>
    <col min="11797" max="12032" width="8.83203125" style="3022"/>
    <col min="12033" max="12033" width="9.5" style="3022" customWidth="1"/>
    <col min="12034" max="12034" width="8.83203125" style="3022"/>
    <col min="12035" max="12037" width="12.83203125" style="3022" customWidth="1"/>
    <col min="12038" max="12038" width="47.5" style="3022" customWidth="1"/>
    <col min="12039" max="12039" width="13" style="3022" customWidth="1"/>
    <col min="12040" max="12041" width="8.83203125" style="3022"/>
    <col min="12042" max="12042" width="5.6640625" style="3022" customWidth="1"/>
    <col min="12043" max="12043" width="11.6640625" style="3022" customWidth="1"/>
    <col min="12044" max="12045" width="10.6640625" style="3022" customWidth="1"/>
    <col min="12046" max="12046" width="10" style="3022" customWidth="1"/>
    <col min="12047" max="12048" width="10.5" style="3022" bestFit="1" customWidth="1"/>
    <col min="12049" max="12049" width="10" style="3022" customWidth="1"/>
    <col min="12050" max="12050" width="10.1640625" style="3022" customWidth="1"/>
    <col min="12051" max="12051" width="10" style="3022" customWidth="1"/>
    <col min="12052" max="12052" width="26.1640625" style="3022" customWidth="1"/>
    <col min="12053" max="12288" width="8.83203125" style="3022"/>
    <col min="12289" max="12289" width="9.5" style="3022" customWidth="1"/>
    <col min="12290" max="12290" width="8.83203125" style="3022"/>
    <col min="12291" max="12293" width="12.83203125" style="3022" customWidth="1"/>
    <col min="12294" max="12294" width="47.5" style="3022" customWidth="1"/>
    <col min="12295" max="12295" width="13" style="3022" customWidth="1"/>
    <col min="12296" max="12297" width="8.83203125" style="3022"/>
    <col min="12298" max="12298" width="5.6640625" style="3022" customWidth="1"/>
    <col min="12299" max="12299" width="11.6640625" style="3022" customWidth="1"/>
    <col min="12300" max="12301" width="10.6640625" style="3022" customWidth="1"/>
    <col min="12302" max="12302" width="10" style="3022" customWidth="1"/>
    <col min="12303" max="12304" width="10.5" style="3022" bestFit="1" customWidth="1"/>
    <col min="12305" max="12305" width="10" style="3022" customWidth="1"/>
    <col min="12306" max="12306" width="10.1640625" style="3022" customWidth="1"/>
    <col min="12307" max="12307" width="10" style="3022" customWidth="1"/>
    <col min="12308" max="12308" width="26.1640625" style="3022" customWidth="1"/>
    <col min="12309" max="12544" width="8.83203125" style="3022"/>
    <col min="12545" max="12545" width="9.5" style="3022" customWidth="1"/>
    <col min="12546" max="12546" width="8.83203125" style="3022"/>
    <col min="12547" max="12549" width="12.83203125" style="3022" customWidth="1"/>
    <col min="12550" max="12550" width="47.5" style="3022" customWidth="1"/>
    <col min="12551" max="12551" width="13" style="3022" customWidth="1"/>
    <col min="12552" max="12553" width="8.83203125" style="3022"/>
    <col min="12554" max="12554" width="5.6640625" style="3022" customWidth="1"/>
    <col min="12555" max="12555" width="11.6640625" style="3022" customWidth="1"/>
    <col min="12556" max="12557" width="10.6640625" style="3022" customWidth="1"/>
    <col min="12558" max="12558" width="10" style="3022" customWidth="1"/>
    <col min="12559" max="12560" width="10.5" style="3022" bestFit="1" customWidth="1"/>
    <col min="12561" max="12561" width="10" style="3022" customWidth="1"/>
    <col min="12562" max="12562" width="10.1640625" style="3022" customWidth="1"/>
    <col min="12563" max="12563" width="10" style="3022" customWidth="1"/>
    <col min="12564" max="12564" width="26.1640625" style="3022" customWidth="1"/>
    <col min="12565" max="12800" width="8.83203125" style="3022"/>
    <col min="12801" max="12801" width="9.5" style="3022" customWidth="1"/>
    <col min="12802" max="12802" width="8.83203125" style="3022"/>
    <col min="12803" max="12805" width="12.83203125" style="3022" customWidth="1"/>
    <col min="12806" max="12806" width="47.5" style="3022" customWidth="1"/>
    <col min="12807" max="12807" width="13" style="3022" customWidth="1"/>
    <col min="12808" max="12809" width="8.83203125" style="3022"/>
    <col min="12810" max="12810" width="5.6640625" style="3022" customWidth="1"/>
    <col min="12811" max="12811" width="11.6640625" style="3022" customWidth="1"/>
    <col min="12812" max="12813" width="10.6640625" style="3022" customWidth="1"/>
    <col min="12814" max="12814" width="10" style="3022" customWidth="1"/>
    <col min="12815" max="12816" width="10.5" style="3022" bestFit="1" customWidth="1"/>
    <col min="12817" max="12817" width="10" style="3022" customWidth="1"/>
    <col min="12818" max="12818" width="10.1640625" style="3022" customWidth="1"/>
    <col min="12819" max="12819" width="10" style="3022" customWidth="1"/>
    <col min="12820" max="12820" width="26.1640625" style="3022" customWidth="1"/>
    <col min="12821" max="13056" width="8.83203125" style="3022"/>
    <col min="13057" max="13057" width="9.5" style="3022" customWidth="1"/>
    <col min="13058" max="13058" width="8.83203125" style="3022"/>
    <col min="13059" max="13061" width="12.83203125" style="3022" customWidth="1"/>
    <col min="13062" max="13062" width="47.5" style="3022" customWidth="1"/>
    <col min="13063" max="13063" width="13" style="3022" customWidth="1"/>
    <col min="13064" max="13065" width="8.83203125" style="3022"/>
    <col min="13066" max="13066" width="5.6640625" style="3022" customWidth="1"/>
    <col min="13067" max="13067" width="11.6640625" style="3022" customWidth="1"/>
    <col min="13068" max="13069" width="10.6640625" style="3022" customWidth="1"/>
    <col min="13070" max="13070" width="10" style="3022" customWidth="1"/>
    <col min="13071" max="13072" width="10.5" style="3022" bestFit="1" customWidth="1"/>
    <col min="13073" max="13073" width="10" style="3022" customWidth="1"/>
    <col min="13074" max="13074" width="10.1640625" style="3022" customWidth="1"/>
    <col min="13075" max="13075" width="10" style="3022" customWidth="1"/>
    <col min="13076" max="13076" width="26.1640625" style="3022" customWidth="1"/>
    <col min="13077" max="13312" width="8.83203125" style="3022"/>
    <col min="13313" max="13313" width="9.5" style="3022" customWidth="1"/>
    <col min="13314" max="13314" width="8.83203125" style="3022"/>
    <col min="13315" max="13317" width="12.83203125" style="3022" customWidth="1"/>
    <col min="13318" max="13318" width="47.5" style="3022" customWidth="1"/>
    <col min="13319" max="13319" width="13" style="3022" customWidth="1"/>
    <col min="13320" max="13321" width="8.83203125" style="3022"/>
    <col min="13322" max="13322" width="5.6640625" style="3022" customWidth="1"/>
    <col min="13323" max="13323" width="11.6640625" style="3022" customWidth="1"/>
    <col min="13324" max="13325" width="10.6640625" style="3022" customWidth="1"/>
    <col min="13326" max="13326" width="10" style="3022" customWidth="1"/>
    <col min="13327" max="13328" width="10.5" style="3022" bestFit="1" customWidth="1"/>
    <col min="13329" max="13329" width="10" style="3022" customWidth="1"/>
    <col min="13330" max="13330" width="10.1640625" style="3022" customWidth="1"/>
    <col min="13331" max="13331" width="10" style="3022" customWidth="1"/>
    <col min="13332" max="13332" width="26.1640625" style="3022" customWidth="1"/>
    <col min="13333" max="13568" width="8.83203125" style="3022"/>
    <col min="13569" max="13569" width="9.5" style="3022" customWidth="1"/>
    <col min="13570" max="13570" width="8.83203125" style="3022"/>
    <col min="13571" max="13573" width="12.83203125" style="3022" customWidth="1"/>
    <col min="13574" max="13574" width="47.5" style="3022" customWidth="1"/>
    <col min="13575" max="13575" width="13" style="3022" customWidth="1"/>
    <col min="13576" max="13577" width="8.83203125" style="3022"/>
    <col min="13578" max="13578" width="5.6640625" style="3022" customWidth="1"/>
    <col min="13579" max="13579" width="11.6640625" style="3022" customWidth="1"/>
    <col min="13580" max="13581" width="10.6640625" style="3022" customWidth="1"/>
    <col min="13582" max="13582" width="10" style="3022" customWidth="1"/>
    <col min="13583" max="13584" width="10.5" style="3022" bestFit="1" customWidth="1"/>
    <col min="13585" max="13585" width="10" style="3022" customWidth="1"/>
    <col min="13586" max="13586" width="10.1640625" style="3022" customWidth="1"/>
    <col min="13587" max="13587" width="10" style="3022" customWidth="1"/>
    <col min="13588" max="13588" width="26.1640625" style="3022" customWidth="1"/>
    <col min="13589" max="13824" width="8.83203125" style="3022"/>
    <col min="13825" max="13825" width="9.5" style="3022" customWidth="1"/>
    <col min="13826" max="13826" width="8.83203125" style="3022"/>
    <col min="13827" max="13829" width="12.83203125" style="3022" customWidth="1"/>
    <col min="13830" max="13830" width="47.5" style="3022" customWidth="1"/>
    <col min="13831" max="13831" width="13" style="3022" customWidth="1"/>
    <col min="13832" max="13833" width="8.83203125" style="3022"/>
    <col min="13834" max="13834" width="5.6640625" style="3022" customWidth="1"/>
    <col min="13835" max="13835" width="11.6640625" style="3022" customWidth="1"/>
    <col min="13836" max="13837" width="10.6640625" style="3022" customWidth="1"/>
    <col min="13838" max="13838" width="10" style="3022" customWidth="1"/>
    <col min="13839" max="13840" width="10.5" style="3022" bestFit="1" customWidth="1"/>
    <col min="13841" max="13841" width="10" style="3022" customWidth="1"/>
    <col min="13842" max="13842" width="10.1640625" style="3022" customWidth="1"/>
    <col min="13843" max="13843" width="10" style="3022" customWidth="1"/>
    <col min="13844" max="13844" width="26.1640625" style="3022" customWidth="1"/>
    <col min="13845" max="14080" width="8.83203125" style="3022"/>
    <col min="14081" max="14081" width="9.5" style="3022" customWidth="1"/>
    <col min="14082" max="14082" width="8.83203125" style="3022"/>
    <col min="14083" max="14085" width="12.83203125" style="3022" customWidth="1"/>
    <col min="14086" max="14086" width="47.5" style="3022" customWidth="1"/>
    <col min="14087" max="14087" width="13" style="3022" customWidth="1"/>
    <col min="14088" max="14089" width="8.83203125" style="3022"/>
    <col min="14090" max="14090" width="5.6640625" style="3022" customWidth="1"/>
    <col min="14091" max="14091" width="11.6640625" style="3022" customWidth="1"/>
    <col min="14092" max="14093" width="10.6640625" style="3022" customWidth="1"/>
    <col min="14094" max="14094" width="10" style="3022" customWidth="1"/>
    <col min="14095" max="14096" width="10.5" style="3022" bestFit="1" customWidth="1"/>
    <col min="14097" max="14097" width="10" style="3022" customWidth="1"/>
    <col min="14098" max="14098" width="10.1640625" style="3022" customWidth="1"/>
    <col min="14099" max="14099" width="10" style="3022" customWidth="1"/>
    <col min="14100" max="14100" width="26.1640625" style="3022" customWidth="1"/>
    <col min="14101" max="14336" width="8.83203125" style="3022"/>
    <col min="14337" max="14337" width="9.5" style="3022" customWidth="1"/>
    <col min="14338" max="14338" width="8.83203125" style="3022"/>
    <col min="14339" max="14341" width="12.83203125" style="3022" customWidth="1"/>
    <col min="14342" max="14342" width="47.5" style="3022" customWidth="1"/>
    <col min="14343" max="14343" width="13" style="3022" customWidth="1"/>
    <col min="14344" max="14345" width="8.83203125" style="3022"/>
    <col min="14346" max="14346" width="5.6640625" style="3022" customWidth="1"/>
    <col min="14347" max="14347" width="11.6640625" style="3022" customWidth="1"/>
    <col min="14348" max="14349" width="10.6640625" style="3022" customWidth="1"/>
    <col min="14350" max="14350" width="10" style="3022" customWidth="1"/>
    <col min="14351" max="14352" width="10.5" style="3022" bestFit="1" customWidth="1"/>
    <col min="14353" max="14353" width="10" style="3022" customWidth="1"/>
    <col min="14354" max="14354" width="10.1640625" style="3022" customWidth="1"/>
    <col min="14355" max="14355" width="10" style="3022" customWidth="1"/>
    <col min="14356" max="14356" width="26.1640625" style="3022" customWidth="1"/>
    <col min="14357" max="14592" width="8.83203125" style="3022"/>
    <col min="14593" max="14593" width="9.5" style="3022" customWidth="1"/>
    <col min="14594" max="14594" width="8.83203125" style="3022"/>
    <col min="14595" max="14597" width="12.83203125" style="3022" customWidth="1"/>
    <col min="14598" max="14598" width="47.5" style="3022" customWidth="1"/>
    <col min="14599" max="14599" width="13" style="3022" customWidth="1"/>
    <col min="14600" max="14601" width="8.83203125" style="3022"/>
    <col min="14602" max="14602" width="5.6640625" style="3022" customWidth="1"/>
    <col min="14603" max="14603" width="11.6640625" style="3022" customWidth="1"/>
    <col min="14604" max="14605" width="10.6640625" style="3022" customWidth="1"/>
    <col min="14606" max="14606" width="10" style="3022" customWidth="1"/>
    <col min="14607" max="14608" width="10.5" style="3022" bestFit="1" customWidth="1"/>
    <col min="14609" max="14609" width="10" style="3022" customWidth="1"/>
    <col min="14610" max="14610" width="10.1640625" style="3022" customWidth="1"/>
    <col min="14611" max="14611" width="10" style="3022" customWidth="1"/>
    <col min="14612" max="14612" width="26.1640625" style="3022" customWidth="1"/>
    <col min="14613" max="14848" width="8.83203125" style="3022"/>
    <col min="14849" max="14849" width="9.5" style="3022" customWidth="1"/>
    <col min="14850" max="14850" width="8.83203125" style="3022"/>
    <col min="14851" max="14853" width="12.83203125" style="3022" customWidth="1"/>
    <col min="14854" max="14854" width="47.5" style="3022" customWidth="1"/>
    <col min="14855" max="14855" width="13" style="3022" customWidth="1"/>
    <col min="14856" max="14857" width="8.83203125" style="3022"/>
    <col min="14858" max="14858" width="5.6640625" style="3022" customWidth="1"/>
    <col min="14859" max="14859" width="11.6640625" style="3022" customWidth="1"/>
    <col min="14860" max="14861" width="10.6640625" style="3022" customWidth="1"/>
    <col min="14862" max="14862" width="10" style="3022" customWidth="1"/>
    <col min="14863" max="14864" width="10.5" style="3022" bestFit="1" customWidth="1"/>
    <col min="14865" max="14865" width="10" style="3022" customWidth="1"/>
    <col min="14866" max="14866" width="10.1640625" style="3022" customWidth="1"/>
    <col min="14867" max="14867" width="10" style="3022" customWidth="1"/>
    <col min="14868" max="14868" width="26.1640625" style="3022" customWidth="1"/>
    <col min="14869" max="15104" width="8.83203125" style="3022"/>
    <col min="15105" max="15105" width="9.5" style="3022" customWidth="1"/>
    <col min="15106" max="15106" width="8.83203125" style="3022"/>
    <col min="15107" max="15109" width="12.83203125" style="3022" customWidth="1"/>
    <col min="15110" max="15110" width="47.5" style="3022" customWidth="1"/>
    <col min="15111" max="15111" width="13" style="3022" customWidth="1"/>
    <col min="15112" max="15113" width="8.83203125" style="3022"/>
    <col min="15114" max="15114" width="5.6640625" style="3022" customWidth="1"/>
    <col min="15115" max="15115" width="11.6640625" style="3022" customWidth="1"/>
    <col min="15116" max="15117" width="10.6640625" style="3022" customWidth="1"/>
    <col min="15118" max="15118" width="10" style="3022" customWidth="1"/>
    <col min="15119" max="15120" width="10.5" style="3022" bestFit="1" customWidth="1"/>
    <col min="15121" max="15121" width="10" style="3022" customWidth="1"/>
    <col min="15122" max="15122" width="10.1640625" style="3022" customWidth="1"/>
    <col min="15123" max="15123" width="10" style="3022" customWidth="1"/>
    <col min="15124" max="15124" width="26.1640625" style="3022" customWidth="1"/>
    <col min="15125" max="15360" width="8.83203125" style="3022"/>
    <col min="15361" max="15361" width="9.5" style="3022" customWidth="1"/>
    <col min="15362" max="15362" width="8.83203125" style="3022"/>
    <col min="15363" max="15365" width="12.83203125" style="3022" customWidth="1"/>
    <col min="15366" max="15366" width="47.5" style="3022" customWidth="1"/>
    <col min="15367" max="15367" width="13" style="3022" customWidth="1"/>
    <col min="15368" max="15369" width="8.83203125" style="3022"/>
    <col min="15370" max="15370" width="5.6640625" style="3022" customWidth="1"/>
    <col min="15371" max="15371" width="11.6640625" style="3022" customWidth="1"/>
    <col min="15372" max="15373" width="10.6640625" style="3022" customWidth="1"/>
    <col min="15374" max="15374" width="10" style="3022" customWidth="1"/>
    <col min="15375" max="15376" width="10.5" style="3022" bestFit="1" customWidth="1"/>
    <col min="15377" max="15377" width="10" style="3022" customWidth="1"/>
    <col min="15378" max="15378" width="10.1640625" style="3022" customWidth="1"/>
    <col min="15379" max="15379" width="10" style="3022" customWidth="1"/>
    <col min="15380" max="15380" width="26.1640625" style="3022" customWidth="1"/>
    <col min="15381" max="15616" width="8.83203125" style="3022"/>
    <col min="15617" max="15617" width="9.5" style="3022" customWidth="1"/>
    <col min="15618" max="15618" width="8.83203125" style="3022"/>
    <col min="15619" max="15621" width="12.83203125" style="3022" customWidth="1"/>
    <col min="15622" max="15622" width="47.5" style="3022" customWidth="1"/>
    <col min="15623" max="15623" width="13" style="3022" customWidth="1"/>
    <col min="15624" max="15625" width="8.83203125" style="3022"/>
    <col min="15626" max="15626" width="5.6640625" style="3022" customWidth="1"/>
    <col min="15627" max="15627" width="11.6640625" style="3022" customWidth="1"/>
    <col min="15628" max="15629" width="10.6640625" style="3022" customWidth="1"/>
    <col min="15630" max="15630" width="10" style="3022" customWidth="1"/>
    <col min="15631" max="15632" width="10.5" style="3022" bestFit="1" customWidth="1"/>
    <col min="15633" max="15633" width="10" style="3022" customWidth="1"/>
    <col min="15634" max="15634" width="10.1640625" style="3022" customWidth="1"/>
    <col min="15635" max="15635" width="10" style="3022" customWidth="1"/>
    <col min="15636" max="15636" width="26.1640625" style="3022" customWidth="1"/>
    <col min="15637" max="15872" width="8.83203125" style="3022"/>
    <col min="15873" max="15873" width="9.5" style="3022" customWidth="1"/>
    <col min="15874" max="15874" width="8.83203125" style="3022"/>
    <col min="15875" max="15877" width="12.83203125" style="3022" customWidth="1"/>
    <col min="15878" max="15878" width="47.5" style="3022" customWidth="1"/>
    <col min="15879" max="15879" width="13" style="3022" customWidth="1"/>
    <col min="15880" max="15881" width="8.83203125" style="3022"/>
    <col min="15882" max="15882" width="5.6640625" style="3022" customWidth="1"/>
    <col min="15883" max="15883" width="11.6640625" style="3022" customWidth="1"/>
    <col min="15884" max="15885" width="10.6640625" style="3022" customWidth="1"/>
    <col min="15886" max="15886" width="10" style="3022" customWidth="1"/>
    <col min="15887" max="15888" width="10.5" style="3022" bestFit="1" customWidth="1"/>
    <col min="15889" max="15889" width="10" style="3022" customWidth="1"/>
    <col min="15890" max="15890" width="10.1640625" style="3022" customWidth="1"/>
    <col min="15891" max="15891" width="10" style="3022" customWidth="1"/>
    <col min="15892" max="15892" width="26.1640625" style="3022" customWidth="1"/>
    <col min="15893" max="16128" width="8.83203125" style="3022"/>
    <col min="16129" max="16129" width="9.5" style="3022" customWidth="1"/>
    <col min="16130" max="16130" width="8.83203125" style="3022"/>
    <col min="16131" max="16133" width="12.83203125" style="3022" customWidth="1"/>
    <col min="16134" max="16134" width="47.5" style="3022" customWidth="1"/>
    <col min="16135" max="16135" width="13" style="3022" customWidth="1"/>
    <col min="16136" max="16137" width="8.83203125" style="3022"/>
    <col min="16138" max="16138" width="5.6640625" style="3022" customWidth="1"/>
    <col min="16139" max="16139" width="11.6640625" style="3022" customWidth="1"/>
    <col min="16140" max="16141" width="10.6640625" style="3022" customWidth="1"/>
    <col min="16142" max="16142" width="10" style="3022" customWidth="1"/>
    <col min="16143" max="16144" width="10.5" style="3022" bestFit="1" customWidth="1"/>
    <col min="16145" max="16145" width="10" style="3022" customWidth="1"/>
    <col min="16146" max="16146" width="10.1640625" style="3022" customWidth="1"/>
    <col min="16147" max="16147" width="10" style="3022" customWidth="1"/>
    <col min="16148" max="16148" width="26.1640625" style="3022" customWidth="1"/>
    <col min="16149" max="16384" width="8.83203125" style="3022"/>
  </cols>
  <sheetData>
    <row r="1" spans="1:22" ht="21" customHeight="1" x14ac:dyDescent="0.2">
      <c r="A1" s="3011" t="s">
        <v>2941</v>
      </c>
      <c r="B1" s="3012"/>
      <c r="C1" s="3024"/>
      <c r="D1" s="3024"/>
      <c r="E1" s="3013"/>
      <c r="F1" s="3014"/>
      <c r="G1" s="3015"/>
      <c r="J1" s="3018" t="s">
        <v>2820</v>
      </c>
      <c r="K1" s="3019"/>
      <c r="L1" s="3019"/>
      <c r="M1" s="3019"/>
      <c r="N1" s="3019"/>
      <c r="O1" s="3019"/>
      <c r="P1" s="3019"/>
      <c r="Q1" s="3019"/>
      <c r="R1" s="3020"/>
      <c r="S1" s="3021"/>
      <c r="T1" s="3021"/>
      <c r="U1" s="3021"/>
    </row>
    <row r="2" spans="1:22" s="3033" customFormat="1" ht="13.25" customHeight="1" x14ac:dyDescent="0.15">
      <c r="A2" s="1519" t="s">
        <v>2821</v>
      </c>
      <c r="B2" s="3023" t="e">
        <f>C40</f>
        <v>#DIV/0!</v>
      </c>
      <c r="C2" s="3024" t="s">
        <v>2822</v>
      </c>
      <c r="D2" s="3024"/>
      <c r="E2" s="3025"/>
      <c r="F2" s="3026"/>
      <c r="G2" s="3027"/>
      <c r="H2" s="3028"/>
      <c r="I2" s="3029"/>
      <c r="J2" s="3646" t="s">
        <v>2823</v>
      </c>
      <c r="K2" s="3647"/>
      <c r="L2" s="3030" t="s">
        <v>2824</v>
      </c>
      <c r="M2" s="3030" t="s">
        <v>2825</v>
      </c>
      <c r="N2" s="3030" t="s">
        <v>2826</v>
      </c>
      <c r="O2" s="3030" t="s">
        <v>2827</v>
      </c>
      <c r="P2" s="3030" t="s">
        <v>2828</v>
      </c>
      <c r="Q2" s="3031" t="s">
        <v>2829</v>
      </c>
      <c r="R2" s="3032" t="s">
        <v>2830</v>
      </c>
      <c r="S2" s="3021"/>
      <c r="T2" s="3021"/>
      <c r="U2" s="3021"/>
      <c r="V2" s="3029"/>
    </row>
    <row r="3" spans="1:22" s="3033" customFormat="1" ht="13.25" customHeight="1" x14ac:dyDescent="0.15">
      <c r="A3" s="3034" t="s">
        <v>2831</v>
      </c>
      <c r="B3" s="3035" t="e">
        <f>ROUND(B2*10000/B4,0)</f>
        <v>#DIV/0!</v>
      </c>
      <c r="C3" s="3024" t="s">
        <v>2832</v>
      </c>
      <c r="D3" s="3024"/>
      <c r="E3" s="3025"/>
      <c r="F3" s="3026"/>
      <c r="G3" s="3027"/>
      <c r="H3" s="3028"/>
      <c r="I3" s="3029"/>
      <c r="J3" s="3648" t="s">
        <v>2833</v>
      </c>
      <c r="K3" s="3649"/>
      <c r="L3" s="3036"/>
      <c r="M3" s="3036"/>
      <c r="N3" s="3036"/>
      <c r="O3" s="3036"/>
      <c r="P3" s="3036"/>
      <c r="Q3" s="3037"/>
      <c r="R3" s="3038">
        <f>SUM(L3:Q3)</f>
        <v>0</v>
      </c>
      <c r="S3" s="3021"/>
      <c r="T3" s="3021"/>
      <c r="U3" s="3021"/>
      <c r="V3" s="3029"/>
    </row>
    <row r="4" spans="1:22" s="3033" customFormat="1" ht="13.25" customHeight="1" x14ac:dyDescent="0.15">
      <c r="A4" s="3039" t="s">
        <v>2834</v>
      </c>
      <c r="B4" s="3040"/>
      <c r="C4" s="3024"/>
      <c r="D4" s="3024"/>
      <c r="E4" s="3025"/>
      <c r="F4" s="3026"/>
      <c r="G4" s="3027"/>
      <c r="H4" s="3028"/>
      <c r="I4" s="3029"/>
      <c r="J4" s="3648" t="s">
        <v>2835</v>
      </c>
      <c r="K4" s="3649"/>
      <c r="L4" s="3041"/>
      <c r="M4" s="3041"/>
      <c r="N4" s="3041"/>
      <c r="O4" s="3041"/>
      <c r="P4" s="3041"/>
      <c r="Q4" s="3042"/>
      <c r="R4" s="3043">
        <f>SUM(L4:Q4)</f>
        <v>0</v>
      </c>
      <c r="S4" s="3021"/>
      <c r="T4" s="3021"/>
      <c r="U4" s="3021"/>
      <c r="V4" s="3029"/>
    </row>
    <row r="5" spans="1:22" s="3033" customFormat="1" ht="13.25" customHeight="1" thickBot="1" x14ac:dyDescent="0.2">
      <c r="A5" s="3044" t="s">
        <v>2836</v>
      </c>
      <c r="B5" s="3045"/>
      <c r="C5" s="3024"/>
      <c r="D5" s="3046"/>
      <c r="E5" s="3026"/>
      <c r="F5" s="3026"/>
      <c r="G5" s="3027"/>
      <c r="H5" s="3028"/>
      <c r="I5" s="3029"/>
      <c r="J5" s="3047" t="s">
        <v>2837</v>
      </c>
      <c r="K5" s="3048"/>
      <c r="L5" s="3048"/>
      <c r="M5" s="3049"/>
      <c r="N5" s="3049"/>
      <c r="O5" s="3049"/>
      <c r="P5" s="3049"/>
      <c r="Q5" s="3049"/>
      <c r="R5" s="3032">
        <f>SUM(R14,R19,R24,R25,R27,R28)</f>
        <v>0</v>
      </c>
      <c r="S5" s="3021"/>
      <c r="T5" s="3021" t="s">
        <v>2838</v>
      </c>
      <c r="U5" s="3021" t="e">
        <f>ROUND(R5*10000/365/R3,1)</f>
        <v>#DIV/0!</v>
      </c>
      <c r="V5" s="3029"/>
    </row>
    <row r="6" spans="1:22" s="3033" customFormat="1" ht="13.25" customHeight="1" thickBot="1" x14ac:dyDescent="0.2">
      <c r="A6" s="3654" t="s">
        <v>2839</v>
      </c>
      <c r="B6" s="3655"/>
      <c r="C6" s="3656"/>
      <c r="D6" s="3050"/>
      <c r="E6" s="3051"/>
      <c r="F6" s="3052"/>
      <c r="G6" s="3053"/>
      <c r="H6" s="3028"/>
      <c r="I6" s="3029"/>
      <c r="J6" s="3640">
        <v>1</v>
      </c>
      <c r="K6" s="3641" t="s">
        <v>2840</v>
      </c>
      <c r="L6" s="3054" t="s">
        <v>2841</v>
      </c>
      <c r="M6" s="3055" t="s">
        <v>2842</v>
      </c>
      <c r="N6" s="3055" t="s">
        <v>2843</v>
      </c>
      <c r="O6" s="3055" t="s">
        <v>2844</v>
      </c>
      <c r="P6" s="3055" t="s">
        <v>2845</v>
      </c>
      <c r="Q6" s="3055" t="s">
        <v>2846</v>
      </c>
      <c r="R6" s="3038" t="s">
        <v>2847</v>
      </c>
      <c r="S6" s="3021"/>
      <c r="T6" s="3021" t="s">
        <v>2848</v>
      </c>
      <c r="U6" s="3021"/>
      <c r="V6" s="3029"/>
    </row>
    <row r="7" spans="1:22" s="3033" customFormat="1" ht="13.25" customHeight="1" x14ac:dyDescent="0.15">
      <c r="A7" s="3056" t="s">
        <v>2849</v>
      </c>
      <c r="B7" s="3057"/>
      <c r="C7" s="3058"/>
      <c r="D7" s="3059">
        <f>SUM(D9,D10,D11,D17,0)</f>
        <v>0</v>
      </c>
      <c r="E7" s="3060" t="e">
        <f>E9+E10+E11+E17</f>
        <v>#DIV/0!</v>
      </c>
      <c r="F7" s="3061"/>
      <c r="G7" s="3062"/>
      <c r="H7" s="3028"/>
      <c r="I7" s="3029"/>
      <c r="J7" s="3640"/>
      <c r="K7" s="3642"/>
      <c r="L7" s="3063" t="s">
        <v>2850</v>
      </c>
      <c r="M7" s="3064"/>
      <c r="N7" s="3040"/>
      <c r="O7" s="3065"/>
      <c r="P7" s="3065"/>
      <c r="Q7" s="3066">
        <v>365</v>
      </c>
      <c r="R7" s="3067">
        <f>ROUND(M7*N7*O7*P7*Q7/10000,0)</f>
        <v>0</v>
      </c>
      <c r="S7" s="3021"/>
      <c r="T7" s="3021" t="s">
        <v>2851</v>
      </c>
      <c r="U7" s="3021"/>
      <c r="V7" s="3029"/>
    </row>
    <row r="8" spans="1:22" s="3033" customFormat="1" ht="13.25" customHeight="1" x14ac:dyDescent="0.15">
      <c r="A8" s="3068" t="s">
        <v>2852</v>
      </c>
      <c r="B8" s="3657" t="s">
        <v>2853</v>
      </c>
      <c r="C8" s="3658"/>
      <c r="D8" s="3069" t="s">
        <v>2854</v>
      </c>
      <c r="E8" s="3070" t="s">
        <v>2855</v>
      </c>
      <c r="F8" s="3071" t="s">
        <v>2856</v>
      </c>
      <c r="G8" s="3072"/>
      <c r="H8" s="3028"/>
      <c r="I8" s="3029"/>
      <c r="J8" s="3640"/>
      <c r="K8" s="3642"/>
      <c r="L8" s="3063" t="s">
        <v>2857</v>
      </c>
      <c r="M8" s="3064"/>
      <c r="N8" s="3040"/>
      <c r="O8" s="3065"/>
      <c r="P8" s="3065"/>
      <c r="Q8" s="3066">
        <v>365</v>
      </c>
      <c r="R8" s="3067">
        <f t="shared" ref="R8:R13" si="0">ROUND(M8*N8*O8*P8*Q8/10000,0)</f>
        <v>0</v>
      </c>
      <c r="S8" s="3021"/>
      <c r="T8" s="3021" t="s">
        <v>2858</v>
      </c>
      <c r="U8" s="3021"/>
      <c r="V8" s="3029"/>
    </row>
    <row r="9" spans="1:22" s="3033" customFormat="1" ht="13.25" customHeight="1" x14ac:dyDescent="0.15">
      <c r="A9" s="3068">
        <v>1</v>
      </c>
      <c r="B9" s="3657" t="s">
        <v>2859</v>
      </c>
      <c r="C9" s="3658"/>
      <c r="D9" s="3069">
        <f>ROUND(D6*E9,0)</f>
        <v>0</v>
      </c>
      <c r="E9" s="3073"/>
      <c r="F9" s="3074" t="s">
        <v>2860</v>
      </c>
      <c r="G9" s="3053"/>
      <c r="H9" s="3028"/>
      <c r="I9" s="3029"/>
      <c r="J9" s="3640"/>
      <c r="K9" s="3642"/>
      <c r="L9" s="3063" t="s">
        <v>2861</v>
      </c>
      <c r="M9" s="3064"/>
      <c r="N9" s="3040"/>
      <c r="O9" s="3065"/>
      <c r="P9" s="3065"/>
      <c r="Q9" s="3066">
        <v>365</v>
      </c>
      <c r="R9" s="3067">
        <f t="shared" si="0"/>
        <v>0</v>
      </c>
      <c r="S9" s="3021"/>
      <c r="T9" s="3021"/>
      <c r="U9" s="3021"/>
      <c r="V9" s="3029"/>
    </row>
    <row r="10" spans="1:22" s="3033" customFormat="1" ht="13.25" customHeight="1" x14ac:dyDescent="0.15">
      <c r="A10" s="3068">
        <v>2</v>
      </c>
      <c r="B10" s="3657" t="s">
        <v>2862</v>
      </c>
      <c r="C10" s="3658"/>
      <c r="D10" s="3069">
        <f>ROUND(D6*E10,0)</f>
        <v>0</v>
      </c>
      <c r="E10" s="3073"/>
      <c r="F10" s="3074" t="s">
        <v>2863</v>
      </c>
      <c r="G10" s="3053"/>
      <c r="H10" s="3028"/>
      <c r="I10" s="3029"/>
      <c r="J10" s="3640"/>
      <c r="K10" s="3642"/>
      <c r="L10" s="3063" t="s">
        <v>2864</v>
      </c>
      <c r="M10" s="3064"/>
      <c r="N10" s="3040"/>
      <c r="O10" s="3065"/>
      <c r="P10" s="3065"/>
      <c r="Q10" s="3066">
        <v>365</v>
      </c>
      <c r="R10" s="3067">
        <f t="shared" si="0"/>
        <v>0</v>
      </c>
      <c r="S10" s="3021"/>
      <c r="T10" s="3021"/>
      <c r="U10" s="3021"/>
      <c r="V10" s="3029"/>
    </row>
    <row r="11" spans="1:22" s="3033" customFormat="1" ht="13.25" customHeight="1" x14ac:dyDescent="0.15">
      <c r="A11" s="3068">
        <v>3</v>
      </c>
      <c r="B11" s="3657" t="s">
        <v>2865</v>
      </c>
      <c r="C11" s="3658"/>
      <c r="D11" s="3069">
        <f>D12+D14+D15+D16</f>
        <v>0</v>
      </c>
      <c r="E11" s="3075" t="e">
        <f>D11/D6</f>
        <v>#DIV/0!</v>
      </c>
      <c r="F11" s="3071"/>
      <c r="G11" s="3072"/>
      <c r="H11" s="3028"/>
      <c r="I11" s="3029"/>
      <c r="J11" s="3640"/>
      <c r="K11" s="3642"/>
      <c r="L11" s="3063" t="s">
        <v>2866</v>
      </c>
      <c r="M11" s="3064"/>
      <c r="N11" s="3040"/>
      <c r="O11" s="3065"/>
      <c r="P11" s="3065"/>
      <c r="Q11" s="3066">
        <v>365</v>
      </c>
      <c r="R11" s="3067">
        <f t="shared" si="0"/>
        <v>0</v>
      </c>
      <c r="S11" s="3021"/>
      <c r="T11" s="3021"/>
      <c r="U11" s="3021"/>
      <c r="V11" s="3029"/>
    </row>
    <row r="12" spans="1:22" s="3033" customFormat="1" ht="13.25" customHeight="1" x14ac:dyDescent="0.15">
      <c r="A12" s="3076" t="s">
        <v>2867</v>
      </c>
      <c r="B12" s="3650" t="s">
        <v>2868</v>
      </c>
      <c r="C12" s="3651"/>
      <c r="D12" s="3077">
        <f>ROUND(D13*1.2%*(1-30%),0)</f>
        <v>0</v>
      </c>
      <c r="E12" s="3078">
        <v>1.2E-2</v>
      </c>
      <c r="F12" s="3071" t="s">
        <v>2869</v>
      </c>
      <c r="G12" s="3072"/>
      <c r="H12" s="3028"/>
      <c r="I12" s="3029"/>
      <c r="J12" s="3640"/>
      <c r="K12" s="3642"/>
      <c r="L12" s="3063" t="s">
        <v>2870</v>
      </c>
      <c r="M12" s="3064"/>
      <c r="N12" s="3040"/>
      <c r="O12" s="3065"/>
      <c r="P12" s="3065"/>
      <c r="Q12" s="3066">
        <v>365</v>
      </c>
      <c r="R12" s="3067">
        <f t="shared" si="0"/>
        <v>0</v>
      </c>
      <c r="S12" s="3021"/>
      <c r="T12" s="3021"/>
      <c r="U12" s="3021"/>
      <c r="V12" s="3029"/>
    </row>
    <row r="13" spans="1:22" s="3033" customFormat="1" ht="13.25" customHeight="1" x14ac:dyDescent="0.15">
      <c r="A13" s="3076"/>
      <c r="B13" s="3079"/>
      <c r="C13" s="3080" t="s">
        <v>2871</v>
      </c>
      <c r="D13" s="3081"/>
      <c r="E13" s="3082"/>
      <c r="F13" s="3071"/>
      <c r="G13" s="3072"/>
      <c r="H13" s="3028"/>
      <c r="I13" s="3029"/>
      <c r="J13" s="3640"/>
      <c r="K13" s="3642"/>
      <c r="L13" s="3063" t="s">
        <v>2872</v>
      </c>
      <c r="M13" s="3064"/>
      <c r="N13" s="3040"/>
      <c r="O13" s="3065"/>
      <c r="P13" s="3065"/>
      <c r="Q13" s="3066">
        <v>365</v>
      </c>
      <c r="R13" s="3067">
        <f t="shared" si="0"/>
        <v>0</v>
      </c>
      <c r="S13" s="3021"/>
      <c r="T13" s="3021"/>
      <c r="U13" s="3021"/>
      <c r="V13" s="3029"/>
    </row>
    <row r="14" spans="1:22" s="3033" customFormat="1" ht="13.25" customHeight="1" x14ac:dyDescent="0.15">
      <c r="A14" s="3076" t="s">
        <v>2873</v>
      </c>
      <c r="B14" s="3650" t="s">
        <v>2874</v>
      </c>
      <c r="C14" s="3651"/>
      <c r="D14" s="3077">
        <f>ROUND(E14*B5/10000,0)</f>
        <v>0</v>
      </c>
      <c r="E14" s="3066"/>
      <c r="F14" s="3071" t="s">
        <v>2875</v>
      </c>
      <c r="G14" s="3072"/>
      <c r="H14" s="3028"/>
      <c r="I14" s="3029"/>
      <c r="J14" s="3640"/>
      <c r="K14" s="3643"/>
      <c r="L14" s="3083" t="s">
        <v>2876</v>
      </c>
      <c r="M14" s="3084">
        <f>SUM(M7:M13)</f>
        <v>0</v>
      </c>
      <c r="N14" s="3084" t="e">
        <f>ROUND((N7*M7+N8*M8+N9*M9+N10*M10+N11*M11+N12*M12+N13*M13)/M14,0)</f>
        <v>#DIV/0!</v>
      </c>
      <c r="O14" s="3085"/>
      <c r="P14" s="3085"/>
      <c r="Q14" s="3086"/>
      <c r="R14" s="3032">
        <f>SUM(R7:R13)</f>
        <v>0</v>
      </c>
      <c r="S14" s="3021"/>
      <c r="T14" s="3021"/>
      <c r="U14" s="3021"/>
      <c r="V14" s="3029"/>
    </row>
    <row r="15" spans="1:22" s="3033" customFormat="1" ht="13.25" customHeight="1" x14ac:dyDescent="0.15">
      <c r="A15" s="3076" t="s">
        <v>2877</v>
      </c>
      <c r="B15" s="3650" t="s">
        <v>2878</v>
      </c>
      <c r="C15" s="3651"/>
      <c r="D15" s="3077">
        <f>ROUND(D6*E15,0)</f>
        <v>0</v>
      </c>
      <c r="E15" s="3078">
        <v>5.5E-2</v>
      </c>
      <c r="F15" s="3071" t="s">
        <v>2879</v>
      </c>
      <c r="G15" s="3053"/>
      <c r="H15" s="3028"/>
      <c r="I15" s="3029"/>
      <c r="J15" s="3640">
        <v>2</v>
      </c>
      <c r="K15" s="3641" t="s">
        <v>2880</v>
      </c>
      <c r="L15" s="3063" t="s">
        <v>2881</v>
      </c>
      <c r="M15" s="3064" t="s">
        <v>2882</v>
      </c>
      <c r="N15" s="3064" t="s">
        <v>2883</v>
      </c>
      <c r="O15" s="3065" t="s">
        <v>2884</v>
      </c>
      <c r="P15" s="3065" t="s">
        <v>2846</v>
      </c>
      <c r="Q15" s="3040" t="s">
        <v>2885</v>
      </c>
      <c r="R15" s="3087" t="s">
        <v>2847</v>
      </c>
      <c r="S15" s="3021"/>
      <c r="T15" s="3021"/>
      <c r="U15" s="3021"/>
      <c r="V15" s="3029"/>
    </row>
    <row r="16" spans="1:22" s="3033" customFormat="1" ht="13.25" customHeight="1" x14ac:dyDescent="0.15">
      <c r="A16" s="3076" t="s">
        <v>2886</v>
      </c>
      <c r="B16" s="3650" t="s">
        <v>2887</v>
      </c>
      <c r="C16" s="3651"/>
      <c r="D16" s="3088">
        <f>D6*E16</f>
        <v>0</v>
      </c>
      <c r="E16" s="3089"/>
      <c r="F16" s="3074" t="s">
        <v>2888</v>
      </c>
      <c r="G16" s="3053"/>
      <c r="H16" s="3028"/>
      <c r="I16" s="3029"/>
      <c r="J16" s="3640"/>
      <c r="K16" s="3642"/>
      <c r="L16" s="3063" t="s">
        <v>2889</v>
      </c>
      <c r="M16" s="3064"/>
      <c r="N16" s="3064"/>
      <c r="O16" s="3065"/>
      <c r="P16" s="3066">
        <v>365</v>
      </c>
      <c r="Q16" s="3040"/>
      <c r="R16" s="3087">
        <f>ROUND(M16*N16*O16*P16/10000,0)</f>
        <v>0</v>
      </c>
      <c r="S16" s="3021"/>
      <c r="T16" s="3021"/>
      <c r="U16" s="3021"/>
      <c r="V16" s="3029"/>
    </row>
    <row r="17" spans="1:22" s="3033" customFormat="1" ht="13.25" customHeight="1" thickBot="1" x14ac:dyDescent="0.2">
      <c r="A17" s="3090">
        <v>4</v>
      </c>
      <c r="B17" s="3652" t="s">
        <v>2890</v>
      </c>
      <c r="C17" s="3653"/>
      <c r="D17" s="3091">
        <f>ROUND(D6*E17,0)</f>
        <v>0</v>
      </c>
      <c r="E17" s="3092"/>
      <c r="F17" s="3093" t="s">
        <v>2891</v>
      </c>
      <c r="G17" s="3053"/>
      <c r="H17" s="3028"/>
      <c r="I17" s="3029"/>
      <c r="J17" s="3640"/>
      <c r="K17" s="3642"/>
      <c r="L17" s="3063" t="s">
        <v>2892</v>
      </c>
      <c r="M17" s="3064"/>
      <c r="N17" s="3064"/>
      <c r="O17" s="3065"/>
      <c r="P17" s="3066">
        <v>365</v>
      </c>
      <c r="Q17" s="3040"/>
      <c r="R17" s="3087">
        <f>ROUND(M17*N17*O17*P17/10000,0)</f>
        <v>0</v>
      </c>
      <c r="S17" s="3021"/>
      <c r="T17" s="3021"/>
      <c r="U17" s="3021"/>
      <c r="V17" s="3029"/>
    </row>
    <row r="18" spans="1:22" s="3033" customFormat="1" ht="13.25" customHeight="1" thickBot="1" x14ac:dyDescent="0.2">
      <c r="A18" s="3056" t="s">
        <v>2893</v>
      </c>
      <c r="B18" s="3057"/>
      <c r="C18" s="3057"/>
      <c r="D18" s="3094">
        <f>ROUND(D6*E18,0)</f>
        <v>0</v>
      </c>
      <c r="E18" s="3095"/>
      <c r="F18" s="3096" t="s">
        <v>2894</v>
      </c>
      <c r="G18" s="3053"/>
      <c r="H18" s="3028"/>
      <c r="I18" s="3029"/>
      <c r="J18" s="3640"/>
      <c r="K18" s="3642"/>
      <c r="L18" s="3063" t="s">
        <v>2895</v>
      </c>
      <c r="M18" s="3064"/>
      <c r="N18" s="3064"/>
      <c r="O18" s="3065"/>
      <c r="P18" s="3066">
        <v>365</v>
      </c>
      <c r="Q18" s="3040"/>
      <c r="R18" s="3087">
        <f>ROUND(M18*N18*O18*P18/10000,0)</f>
        <v>0</v>
      </c>
      <c r="S18" s="3021"/>
      <c r="T18" s="3021"/>
      <c r="U18" s="3021"/>
      <c r="V18" s="3029"/>
    </row>
    <row r="19" spans="1:22" s="3033" customFormat="1" ht="13.25" customHeight="1" thickBot="1" x14ac:dyDescent="0.2">
      <c r="A19" s="3097" t="s">
        <v>2896</v>
      </c>
      <c r="B19" s="3051"/>
      <c r="C19" s="3051"/>
      <c r="D19" s="3051"/>
      <c r="E19" s="3051"/>
      <c r="F19" s="3052"/>
      <c r="G19" s="3072"/>
      <c r="H19" s="3028"/>
      <c r="I19" s="3029"/>
      <c r="J19" s="3640"/>
      <c r="K19" s="3643"/>
      <c r="L19" s="3083" t="s">
        <v>2876</v>
      </c>
      <c r="M19" s="3084"/>
      <c r="N19" s="3084">
        <f>SUM(N16:N18)</f>
        <v>0</v>
      </c>
      <c r="O19" s="3085"/>
      <c r="P19" s="3098" t="s">
        <v>2940</v>
      </c>
      <c r="Q19" s="3065">
        <v>0</v>
      </c>
      <c r="R19" s="3099">
        <f>ROUND(IF(P19="按比例",R14*Q19,SUM(R16:R18)),0)</f>
        <v>0</v>
      </c>
      <c r="S19" s="3021"/>
      <c r="T19" s="3021"/>
      <c r="U19" s="3021"/>
      <c r="V19" s="3029"/>
    </row>
    <row r="20" spans="1:22" s="3033" customFormat="1" ht="13.25" customHeight="1" x14ac:dyDescent="0.15">
      <c r="A20" s="3056"/>
      <c r="B20" s="3057"/>
      <c r="C20" s="3057"/>
      <c r="D20" s="3057"/>
      <c r="E20" s="3057"/>
      <c r="F20" s="3100"/>
      <c r="G20" s="3072"/>
      <c r="H20" s="3028"/>
      <c r="I20" s="3029"/>
      <c r="J20" s="3640">
        <v>3</v>
      </c>
      <c r="K20" s="3641" t="s">
        <v>2897</v>
      </c>
      <c r="L20" s="3063" t="s">
        <v>2898</v>
      </c>
      <c r="M20" s="3064" t="s">
        <v>2899</v>
      </c>
      <c r="N20" s="3101" t="s">
        <v>2900</v>
      </c>
      <c r="O20" s="3065" t="s">
        <v>2901</v>
      </c>
      <c r="P20" s="3066" t="s">
        <v>2902</v>
      </c>
      <c r="Q20" s="3040" t="s">
        <v>2903</v>
      </c>
      <c r="R20" s="3087" t="s">
        <v>2904</v>
      </c>
      <c r="S20" s="3102"/>
      <c r="T20" s="3102"/>
      <c r="U20" s="3102"/>
      <c r="V20" s="3029"/>
    </row>
    <row r="21" spans="1:22" s="3033" customFormat="1" ht="13.25" customHeight="1" x14ac:dyDescent="0.15">
      <c r="A21" s="3056"/>
      <c r="B21" s="3057"/>
      <c r="C21" s="3103" t="s">
        <v>2905</v>
      </c>
      <c r="D21" s="3104" t="s">
        <v>2906</v>
      </c>
      <c r="E21" s="3105" t="s">
        <v>2907</v>
      </c>
      <c r="F21" s="3100"/>
      <c r="G21" s="3072"/>
      <c r="H21" s="3028"/>
      <c r="I21" s="3029"/>
      <c r="J21" s="3640"/>
      <c r="K21" s="3642"/>
      <c r="L21" s="3063" t="s">
        <v>2908</v>
      </c>
      <c r="M21" s="3064"/>
      <c r="N21" s="3064"/>
      <c r="O21" s="3065"/>
      <c r="P21" s="3066">
        <v>365</v>
      </c>
      <c r="Q21" s="3040"/>
      <c r="R21" s="3106">
        <f>ROUND(M21*N21*O21*P21/10000,0)</f>
        <v>0</v>
      </c>
      <c r="S21" s="3102"/>
      <c r="T21" s="3102"/>
      <c r="U21" s="3102"/>
      <c r="V21" s="3029"/>
    </row>
    <row r="22" spans="1:22" s="3033" customFormat="1" ht="13.25" customHeight="1" x14ac:dyDescent="0.15">
      <c r="A22" s="3056"/>
      <c r="B22" s="3057"/>
      <c r="C22" s="3107" t="s">
        <v>2909</v>
      </c>
      <c r="D22" s="3108" t="s">
        <v>2910</v>
      </c>
      <c r="E22" s="3109" t="s">
        <v>2911</v>
      </c>
      <c r="F22" s="3100"/>
      <c r="G22" s="3110"/>
      <c r="H22" s="3028"/>
      <c r="I22" s="3029"/>
      <c r="J22" s="3640"/>
      <c r="K22" s="3642"/>
      <c r="L22" s="3063" t="s">
        <v>2912</v>
      </c>
      <c r="M22" s="3064"/>
      <c r="N22" s="3064"/>
      <c r="O22" s="3065"/>
      <c r="P22" s="3066">
        <v>365</v>
      </c>
      <c r="Q22" s="3040"/>
      <c r="R22" s="3106">
        <f>ROUND(M22*N22*O22*P22/10000,0)</f>
        <v>0</v>
      </c>
      <c r="S22" s="3102"/>
      <c r="T22" s="3102"/>
      <c r="U22" s="3102"/>
      <c r="V22" s="3029"/>
    </row>
    <row r="23" spans="1:22" s="3033" customFormat="1" ht="13.25" customHeight="1" x14ac:dyDescent="0.15">
      <c r="A23" s="3111">
        <v>1</v>
      </c>
      <c r="B23" s="3112" t="s">
        <v>2913</v>
      </c>
      <c r="C23" s="3113">
        <f>D6</f>
        <v>0</v>
      </c>
      <c r="D23" s="3114">
        <f>C23*(1+D24)</f>
        <v>0</v>
      </c>
      <c r="E23" s="3115">
        <f>D23*(1+E24)</f>
        <v>0</v>
      </c>
      <c r="F23" s="3116"/>
      <c r="G23" s="3117"/>
      <c r="H23" s="3028"/>
      <c r="I23" s="3029"/>
      <c r="J23" s="3640"/>
      <c r="K23" s="3642"/>
      <c r="L23" s="3063" t="s">
        <v>2914</v>
      </c>
      <c r="M23" s="3064"/>
      <c r="N23" s="3064"/>
      <c r="O23" s="3065"/>
      <c r="P23" s="3066">
        <v>365</v>
      </c>
      <c r="Q23" s="3040"/>
      <c r="R23" s="3106">
        <f>ROUND(M23*N23*O23*P23/10000,0)</f>
        <v>0</v>
      </c>
      <c r="S23" s="3021"/>
      <c r="T23" s="3021"/>
      <c r="U23" s="3021"/>
      <c r="V23" s="3029"/>
    </row>
    <row r="24" spans="1:22" s="3033" customFormat="1" ht="13.25" customHeight="1" x14ac:dyDescent="0.15">
      <c r="A24" s="3118"/>
      <c r="B24" s="3119" t="s">
        <v>2915</v>
      </c>
      <c r="C24" s="3120"/>
      <c r="D24" s="3121"/>
      <c r="E24" s="3122"/>
      <c r="F24" s="3123"/>
      <c r="G24" s="3117"/>
      <c r="H24" s="3028"/>
      <c r="I24" s="3029"/>
      <c r="J24" s="3640"/>
      <c r="K24" s="3643"/>
      <c r="L24" s="3083" t="s">
        <v>2876</v>
      </c>
      <c r="M24" s="3084">
        <f>SUM(M21:M23)</f>
        <v>0</v>
      </c>
      <c r="N24" s="3084"/>
      <c r="O24" s="3085"/>
      <c r="P24" s="3098" t="s">
        <v>2940</v>
      </c>
      <c r="Q24" s="3065">
        <v>0</v>
      </c>
      <c r="R24" s="3099">
        <f>ROUND(IF(P24="按比例",R14*Q24,SUM(R21:R23)),0)</f>
        <v>0</v>
      </c>
      <c r="S24" s="3021"/>
      <c r="T24" s="3021"/>
      <c r="U24" s="3021"/>
      <c r="V24" s="3029"/>
    </row>
    <row r="25" spans="1:22" s="3130" customFormat="1" ht="13.25" customHeight="1" x14ac:dyDescent="0.15">
      <c r="A25" s="3118"/>
      <c r="B25" s="3119"/>
      <c r="C25" s="3120"/>
      <c r="D25" s="3121"/>
      <c r="E25" s="3122"/>
      <c r="F25" s="3123"/>
      <c r="G25" s="3110"/>
      <c r="H25" s="3028"/>
      <c r="I25" s="3029"/>
      <c r="J25" s="3124">
        <v>4</v>
      </c>
      <c r="K25" s="3125" t="s">
        <v>2916</v>
      </c>
      <c r="L25" s="3126"/>
      <c r="M25" s="3126"/>
      <c r="N25" s="3126"/>
      <c r="O25" s="3126"/>
      <c r="P25" s="3127"/>
      <c r="Q25" s="3128">
        <v>0</v>
      </c>
      <c r="R25" s="3099">
        <f>ROUND(R14*Q25,0)</f>
        <v>0</v>
      </c>
      <c r="S25" s="3021"/>
      <c r="T25" s="3021"/>
      <c r="U25" s="3021"/>
      <c r="V25" s="3129"/>
    </row>
    <row r="26" spans="1:22" s="3130" customFormat="1" ht="13.25" customHeight="1" x14ac:dyDescent="0.15">
      <c r="A26" s="3111">
        <v>2</v>
      </c>
      <c r="B26" s="3112" t="s">
        <v>2917</v>
      </c>
      <c r="C26" s="3113">
        <f>D7</f>
        <v>0</v>
      </c>
      <c r="D26" s="3114">
        <f>D23*D27</f>
        <v>0</v>
      </c>
      <c r="E26" s="3115">
        <f>E23*E27</f>
        <v>0</v>
      </c>
      <c r="F26" s="3116"/>
      <c r="G26" s="3117"/>
      <c r="H26" s="3028"/>
      <c r="I26" s="3029"/>
      <c r="J26" s="3644">
        <v>5</v>
      </c>
      <c r="K26" s="3131" t="s">
        <v>2918</v>
      </c>
      <c r="L26" s="3132"/>
      <c r="M26" s="3133"/>
      <c r="N26" s="3134" t="s">
        <v>2919</v>
      </c>
      <c r="O26" s="3134" t="s">
        <v>2920</v>
      </c>
      <c r="P26" s="3135" t="s">
        <v>2921</v>
      </c>
      <c r="Q26" s="3135" t="s">
        <v>2922</v>
      </c>
      <c r="R26" s="3038" t="s">
        <v>2847</v>
      </c>
      <c r="S26" s="3136"/>
      <c r="T26" s="3136"/>
      <c r="U26" s="3136"/>
      <c r="V26" s="3129"/>
    </row>
    <row r="27" spans="1:22" s="3033" customFormat="1" ht="13.25" customHeight="1" x14ac:dyDescent="0.15">
      <c r="A27" s="3118"/>
      <c r="B27" s="3119" t="s">
        <v>2923</v>
      </c>
      <c r="C27" s="3137" t="e">
        <f>E7</f>
        <v>#DIV/0!</v>
      </c>
      <c r="D27" s="3121"/>
      <c r="E27" s="3122"/>
      <c r="F27" s="3123"/>
      <c r="G27" s="3117"/>
      <c r="H27" s="3138"/>
      <c r="I27" s="3129"/>
      <c r="J27" s="3645"/>
      <c r="K27" s="3139"/>
      <c r="L27" s="3140"/>
      <c r="M27" s="3141"/>
      <c r="N27" s="3142"/>
      <c r="O27" s="3142"/>
      <c r="P27" s="3142"/>
      <c r="Q27" s="3143"/>
      <c r="R27" s="3099">
        <f>ROUND(O27*N27*P27*(1-Q27)/10000,0)</f>
        <v>0</v>
      </c>
      <c r="S27" s="3021"/>
      <c r="T27" s="3021"/>
      <c r="U27" s="3021"/>
      <c r="V27" s="3029"/>
    </row>
    <row r="28" spans="1:22" s="3130" customFormat="1" ht="13.25" customHeight="1" thickBot="1" x14ac:dyDescent="0.2">
      <c r="A28" s="3118"/>
      <c r="B28" s="3119"/>
      <c r="C28" s="3137"/>
      <c r="D28" s="3121"/>
      <c r="E28" s="3122" t="s">
        <v>2924</v>
      </c>
      <c r="F28" s="3123"/>
      <c r="G28" s="3110"/>
      <c r="H28" s="3138"/>
      <c r="I28" s="3129"/>
      <c r="J28" s="3144">
        <v>6</v>
      </c>
      <c r="K28" s="3145" t="s">
        <v>2925</v>
      </c>
      <c r="L28" s="3146" t="s">
        <v>2926</v>
      </c>
      <c r="M28" s="3147"/>
      <c r="N28" s="3146" t="s">
        <v>2927</v>
      </c>
      <c r="O28" s="3148"/>
      <c r="P28" s="3146" t="s">
        <v>2928</v>
      </c>
      <c r="Q28" s="3149">
        <v>1.4999999999999999E-2</v>
      </c>
      <c r="R28" s="3150"/>
      <c r="S28" s="3102"/>
      <c r="T28" s="3102"/>
      <c r="U28" s="3102"/>
      <c r="V28" s="3129"/>
    </row>
    <row r="29" spans="1:22" s="3130" customFormat="1" ht="13.25" customHeight="1" x14ac:dyDescent="0.15">
      <c r="A29" s="3111">
        <v>3</v>
      </c>
      <c r="B29" s="3112" t="s">
        <v>2929</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25" customHeight="1" thickBot="1" x14ac:dyDescent="0.2">
      <c r="A30" s="3118"/>
      <c r="B30" s="3119" t="s">
        <v>2923</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25" customHeight="1" x14ac:dyDescent="0.15">
      <c r="A31" s="3118"/>
      <c r="B31" s="3119"/>
      <c r="C31" s="3152"/>
      <c r="D31" s="3151"/>
      <c r="E31" s="3082"/>
      <c r="F31" s="3123"/>
      <c r="G31" s="3110"/>
      <c r="H31" s="3138"/>
      <c r="I31" s="3129"/>
      <c r="J31" s="3018" t="s">
        <v>2930</v>
      </c>
      <c r="K31" s="3019"/>
      <c r="L31" s="3019"/>
      <c r="M31" s="3019"/>
      <c r="N31" s="3019"/>
      <c r="O31" s="3019"/>
      <c r="P31" s="3019"/>
      <c r="Q31" s="3019"/>
      <c r="R31" s="3020"/>
      <c r="S31" s="3102"/>
      <c r="T31" s="3021"/>
      <c r="U31" s="3021"/>
      <c r="V31" s="3129"/>
    </row>
    <row r="32" spans="1:22" s="3130" customFormat="1" ht="13.25" customHeight="1" x14ac:dyDescent="0.15">
      <c r="A32" s="3111">
        <v>4</v>
      </c>
      <c r="B32" s="3112" t="s">
        <v>2931</v>
      </c>
      <c r="C32" s="3113">
        <f>C23-C26-C29</f>
        <v>0</v>
      </c>
      <c r="D32" s="3114">
        <f>D23-D26-D29</f>
        <v>0</v>
      </c>
      <c r="E32" s="3115">
        <f>E23-E26-E29</f>
        <v>0</v>
      </c>
      <c r="F32" s="3116"/>
      <c r="G32" s="3110"/>
      <c r="H32" s="3028"/>
      <c r="I32" s="3029"/>
      <c r="J32" s="3646" t="s">
        <v>2823</v>
      </c>
      <c r="K32" s="3647"/>
      <c r="L32" s="3030" t="s">
        <v>2824</v>
      </c>
      <c r="M32" s="3030" t="s">
        <v>2825</v>
      </c>
      <c r="N32" s="3030" t="s">
        <v>2826</v>
      </c>
      <c r="O32" s="3030" t="s">
        <v>2827</v>
      </c>
      <c r="P32" s="3030" t="s">
        <v>2828</v>
      </c>
      <c r="Q32" s="3031" t="s">
        <v>2829</v>
      </c>
      <c r="R32" s="3153" t="s">
        <v>2830</v>
      </c>
      <c r="S32" s="3102"/>
      <c r="T32" s="3021"/>
      <c r="U32" s="3021"/>
      <c r="V32" s="3129"/>
    </row>
    <row r="33" spans="1:23" s="3033" customFormat="1" ht="13.25" customHeight="1" x14ac:dyDescent="0.15">
      <c r="A33" s="3111"/>
      <c r="B33" s="3112"/>
      <c r="C33" s="3113"/>
      <c r="D33" s="3154"/>
      <c r="E33" s="3155"/>
      <c r="F33" s="3116"/>
      <c r="G33" s="3110"/>
      <c r="H33" s="3138"/>
      <c r="I33" s="3129"/>
      <c r="J33" s="3648" t="s">
        <v>2833</v>
      </c>
      <c r="K33" s="3649"/>
      <c r="L33" s="3036"/>
      <c r="M33" s="3036"/>
      <c r="N33" s="3036"/>
      <c r="O33" s="3036"/>
      <c r="P33" s="3036"/>
      <c r="Q33" s="3037"/>
      <c r="R33" s="3156">
        <f>SUM(L33:Q33)</f>
        <v>0</v>
      </c>
      <c r="S33" s="3102"/>
      <c r="T33" s="3021"/>
      <c r="U33" s="3021"/>
      <c r="V33" s="3029"/>
    </row>
    <row r="34" spans="1:23" s="3033" customFormat="1" ht="13.25" customHeight="1" x14ac:dyDescent="0.15">
      <c r="A34" s="3111">
        <v>5</v>
      </c>
      <c r="B34" s="3112" t="s">
        <v>2932</v>
      </c>
      <c r="C34" s="3157"/>
      <c r="D34" s="3158"/>
      <c r="E34" s="3159"/>
      <c r="F34" s="3116"/>
      <c r="G34" s="3110"/>
      <c r="H34" s="3138"/>
      <c r="I34" s="3129"/>
      <c r="J34" s="3648" t="s">
        <v>2835</v>
      </c>
      <c r="K34" s="3649"/>
      <c r="L34" s="3041"/>
      <c r="M34" s="3041"/>
      <c r="N34" s="3041"/>
      <c r="O34" s="3041"/>
      <c r="P34" s="3041"/>
      <c r="Q34" s="3042"/>
      <c r="R34" s="3160">
        <f>SUM(L34:Q34)</f>
        <v>0</v>
      </c>
      <c r="S34" s="3102"/>
      <c r="T34" s="3021"/>
      <c r="U34" s="3021" t="e">
        <f>ROUND(R35*10000/365/R33,1)</f>
        <v>#DIV/0!</v>
      </c>
      <c r="V34" s="3029"/>
    </row>
    <row r="35" spans="1:23" s="3033" customFormat="1" ht="13.25" customHeight="1" x14ac:dyDescent="0.15">
      <c r="A35" s="3111">
        <v>6</v>
      </c>
      <c r="B35" s="3112" t="s">
        <v>2933</v>
      </c>
      <c r="C35" s="3161"/>
      <c r="D35" s="3162"/>
      <c r="E35" s="3163"/>
      <c r="F35" s="3116"/>
      <c r="G35" s="3164"/>
      <c r="H35" s="3028"/>
      <c r="I35" s="3129"/>
      <c r="J35" s="3047" t="s">
        <v>2837</v>
      </c>
      <c r="K35" s="3048"/>
      <c r="L35" s="3048"/>
      <c r="M35" s="3049"/>
      <c r="N35" s="3049"/>
      <c r="O35" s="3049"/>
      <c r="P35" s="3049"/>
      <c r="Q35" s="3049"/>
      <c r="R35" s="3165">
        <f>R40+R41+R43</f>
        <v>0</v>
      </c>
      <c r="S35" s="3102"/>
      <c r="T35" s="3021" t="s">
        <v>2838</v>
      </c>
      <c r="U35" s="3021"/>
      <c r="V35" s="3029"/>
    </row>
    <row r="36" spans="1:23" s="3033" customFormat="1" ht="13.25" customHeight="1" thickBot="1" x14ac:dyDescent="0.2">
      <c r="A36" s="3111">
        <v>7</v>
      </c>
      <c r="B36" s="3166" t="s">
        <v>2934</v>
      </c>
      <c r="C36" s="3167"/>
      <c r="D36" s="3168"/>
      <c r="E36" s="3169"/>
      <c r="F36" s="3170">
        <f>C36+D36+E36</f>
        <v>0</v>
      </c>
      <c r="G36" s="3110"/>
      <c r="H36" s="3028"/>
      <c r="I36" s="3029"/>
      <c r="J36" s="3640">
        <v>1</v>
      </c>
      <c r="K36" s="3641" t="s">
        <v>2935</v>
      </c>
      <c r="L36" s="3054"/>
      <c r="M36" s="3055"/>
      <c r="N36" s="3055"/>
      <c r="O36" s="3055"/>
      <c r="P36" s="3055"/>
      <c r="Q36" s="3055"/>
      <c r="R36" s="3038" t="s">
        <v>2847</v>
      </c>
      <c r="S36" s="3102"/>
      <c r="T36" s="3021" t="s">
        <v>2848</v>
      </c>
      <c r="U36" s="3021"/>
      <c r="V36" s="3029"/>
    </row>
    <row r="37" spans="1:23" s="3033" customFormat="1" ht="13.25" customHeight="1" x14ac:dyDescent="0.15">
      <c r="A37" s="3111"/>
      <c r="B37" s="3112"/>
      <c r="C37" s="3112"/>
      <c r="D37" s="3112"/>
      <c r="E37" s="3112"/>
      <c r="F37" s="3116"/>
      <c r="G37" s="3110"/>
      <c r="H37" s="3028"/>
      <c r="I37" s="3029"/>
      <c r="J37" s="3640"/>
      <c r="K37" s="3642"/>
      <c r="L37" s="3063"/>
      <c r="M37" s="3064"/>
      <c r="N37" s="3040"/>
      <c r="O37" s="3065"/>
      <c r="P37" s="3065"/>
      <c r="Q37" s="3066"/>
      <c r="R37" s="3067"/>
      <c r="S37" s="3102"/>
      <c r="T37" s="3021" t="s">
        <v>2851</v>
      </c>
      <c r="U37" s="3021"/>
      <c r="V37" s="3029"/>
    </row>
    <row r="38" spans="1:23" s="3033" customFormat="1" ht="13.25" customHeight="1" x14ac:dyDescent="0.15">
      <c r="A38" s="3111">
        <v>8</v>
      </c>
      <c r="B38" s="3112"/>
      <c r="C38" s="3069" t="e">
        <f>ROUND(C32*(1-((1+C35)/(1+C34))^C36)/(C34-C35),0)</f>
        <v>#DIV/0!</v>
      </c>
      <c r="D38" s="3069">
        <f>IF(D23=0,0,ROUND(D32*(1-((1+D35)/(1+D34))^D36)/(D34-D35),0))</f>
        <v>0</v>
      </c>
      <c r="E38" s="3069">
        <f>IF(E23=0,0,ROUND(E32*(1-((1+E35)/(1+E34))^E36)/(E34-E35),0))</f>
        <v>0</v>
      </c>
      <c r="F38" s="3116"/>
      <c r="G38" s="3110"/>
      <c r="H38" s="3028"/>
      <c r="I38" s="3029"/>
      <c r="J38" s="3640"/>
      <c r="K38" s="3642"/>
      <c r="L38" s="3063"/>
      <c r="M38" s="3064"/>
      <c r="N38" s="3040"/>
      <c r="O38" s="3065"/>
      <c r="P38" s="3065"/>
      <c r="Q38" s="3066"/>
      <c r="R38" s="3067"/>
      <c r="S38" s="3102"/>
      <c r="T38" s="3021" t="s">
        <v>2858</v>
      </c>
      <c r="U38" s="3021"/>
      <c r="V38" s="3029"/>
    </row>
    <row r="39" spans="1:23" s="3033" customFormat="1" ht="13.25" customHeight="1" x14ac:dyDescent="0.15">
      <c r="A39" s="3111">
        <v>9</v>
      </c>
      <c r="B39" s="3112" t="s">
        <v>2936</v>
      </c>
      <c r="C39" s="3077" t="e">
        <f>C38</f>
        <v>#DIV/0!</v>
      </c>
      <c r="D39" s="3112">
        <f>D38/(1+D34)^C36</f>
        <v>0</v>
      </c>
      <c r="E39" s="3112">
        <f>E38/(1+E34)^(C36+D36)</f>
        <v>0</v>
      </c>
      <c r="F39" s="3116"/>
      <c r="G39" s="3171"/>
      <c r="H39" s="3028"/>
      <c r="I39" s="3029"/>
      <c r="J39" s="3640"/>
      <c r="K39" s="3642"/>
      <c r="L39" s="3063"/>
      <c r="M39" s="3064"/>
      <c r="N39" s="3040"/>
      <c r="O39" s="3065"/>
      <c r="P39" s="3065"/>
      <c r="Q39" s="3066"/>
      <c r="R39" s="3067"/>
      <c r="S39" s="3102"/>
      <c r="T39" s="3021"/>
      <c r="U39" s="3021"/>
      <c r="V39" s="3029"/>
    </row>
    <row r="40" spans="1:23" s="3033" customFormat="1" ht="13.25" customHeight="1" x14ac:dyDescent="0.15">
      <c r="A40" s="3172">
        <v>10</v>
      </c>
      <c r="B40" s="3112" t="s">
        <v>2937</v>
      </c>
      <c r="C40" s="3173" t="e">
        <f>C39+D39+E39</f>
        <v>#DIV/0!</v>
      </c>
      <c r="D40" s="3174"/>
      <c r="E40" s="3174"/>
      <c r="F40" s="3175"/>
      <c r="G40" s="3110"/>
      <c r="H40" s="3028"/>
      <c r="I40" s="3029"/>
      <c r="J40" s="3640"/>
      <c r="K40" s="3643"/>
      <c r="L40" s="3083" t="s">
        <v>2876</v>
      </c>
      <c r="M40" s="3084"/>
      <c r="N40" s="3084"/>
      <c r="O40" s="3085"/>
      <c r="P40" s="3085"/>
      <c r="Q40" s="3086"/>
      <c r="R40" s="3032">
        <f>SUM(R37:R39)</f>
        <v>0</v>
      </c>
      <c r="S40" s="3102"/>
      <c r="T40" s="3021"/>
      <c r="U40" s="3021"/>
      <c r="V40" s="3029"/>
    </row>
    <row r="41" spans="1:23" s="3033" customFormat="1" ht="13.25" customHeight="1" thickBot="1" x14ac:dyDescent="0.2">
      <c r="A41" s="3176">
        <v>11</v>
      </c>
      <c r="B41" s="3177" t="s">
        <v>2938</v>
      </c>
      <c r="C41" s="3177" t="e">
        <f>ROUND(C40*10000/B4,0)</f>
        <v>#DIV/0!</v>
      </c>
      <c r="D41" s="3178"/>
      <c r="E41" s="3178"/>
      <c r="F41" s="3179"/>
      <c r="G41" s="3180"/>
      <c r="H41" s="3028"/>
      <c r="I41" s="3029"/>
      <c r="J41" s="3124">
        <v>2</v>
      </c>
      <c r="K41" s="3125" t="s">
        <v>2916</v>
      </c>
      <c r="L41" s="3126"/>
      <c r="M41" s="3126"/>
      <c r="N41" s="3126"/>
      <c r="O41" s="3126"/>
      <c r="P41" s="3127"/>
      <c r="Q41" s="3128"/>
      <c r="R41" s="3099">
        <f>ROUND(R40*Q41,0)</f>
        <v>0</v>
      </c>
      <c r="S41" s="3102"/>
      <c r="T41" s="3021"/>
      <c r="U41" s="3136"/>
      <c r="V41" s="3029"/>
    </row>
    <row r="42" spans="1:23" s="3033" customFormat="1" ht="13.25" customHeight="1" x14ac:dyDescent="0.15">
      <c r="G42" s="3180"/>
      <c r="H42" s="3028"/>
      <c r="I42" s="3029"/>
      <c r="J42" s="3644">
        <v>3</v>
      </c>
      <c r="K42" s="3131" t="s">
        <v>2918</v>
      </c>
      <c r="L42" s="3132"/>
      <c r="M42" s="3133"/>
      <c r="N42" s="3134" t="s">
        <v>2919</v>
      </c>
      <c r="O42" s="3134" t="s">
        <v>2920</v>
      </c>
      <c r="P42" s="3135" t="s">
        <v>2921</v>
      </c>
      <c r="Q42" s="3135" t="s">
        <v>2922</v>
      </c>
      <c r="R42" s="3038" t="s">
        <v>2847</v>
      </c>
      <c r="S42" s="3136"/>
      <c r="T42" s="3136"/>
      <c r="U42" s="3021"/>
      <c r="V42" s="3029"/>
    </row>
    <row r="43" spans="1:23" ht="13.25" customHeight="1" x14ac:dyDescent="0.15">
      <c r="A43" s="3033"/>
      <c r="B43" s="3033"/>
      <c r="C43" s="3033"/>
      <c r="D43" s="3033"/>
      <c r="E43" s="3033"/>
      <c r="F43" s="3033"/>
      <c r="I43" s="3016"/>
      <c r="J43" s="3645"/>
      <c r="K43" s="3139"/>
      <c r="L43" s="3140"/>
      <c r="M43" s="3141"/>
      <c r="N43" s="3064"/>
      <c r="O43" s="3064"/>
      <c r="P43" s="3064"/>
      <c r="Q43" s="3128"/>
      <c r="R43" s="3099">
        <f>ROUND(O43*N43*P43*(1-Q43)/10000,0)</f>
        <v>0</v>
      </c>
      <c r="S43" s="3102"/>
      <c r="T43" s="3021"/>
      <c r="V43" s="3182"/>
      <c r="W43" s="3183"/>
    </row>
    <row r="44" spans="1:23" ht="13.25" customHeight="1" thickBot="1" x14ac:dyDescent="0.2">
      <c r="J44" s="3144">
        <v>6</v>
      </c>
      <c r="K44" s="3145" t="s">
        <v>2925</v>
      </c>
      <c r="L44" s="3184" t="s">
        <v>2926</v>
      </c>
      <c r="M44" s="3147"/>
      <c r="N44" s="3184" t="s">
        <v>2927</v>
      </c>
      <c r="O44" s="3147"/>
      <c r="P44" s="3184" t="s">
        <v>2928</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V31"/>
  <sheetViews>
    <sheetView view="pageBreakPreview" zoomScaleSheetLayoutView="100" workbookViewId="0">
      <selection activeCell="H5" sqref="H5"/>
    </sheetView>
  </sheetViews>
  <sheetFormatPr baseColWidth="10" defaultColWidth="9" defaultRowHeight="14" x14ac:dyDescent="0.2"/>
  <cols>
    <col min="1" max="1" width="23.6640625" style="1612" customWidth="1"/>
    <col min="2" max="2" width="12" style="1612" customWidth="1"/>
    <col min="3" max="3" width="9" style="1612"/>
    <col min="4" max="4" width="14.1640625" style="1612" customWidth="1"/>
    <col min="5" max="5" width="9" style="1612"/>
    <col min="6" max="6" width="12.83203125" style="1612" customWidth="1"/>
    <col min="7" max="16384" width="9" style="1612"/>
  </cols>
  <sheetData>
    <row r="1" spans="1:22" ht="20" x14ac:dyDescent="0.2">
      <c r="A1" s="2003" t="s">
        <v>2106</v>
      </c>
      <c r="B1" s="2004"/>
      <c r="C1" s="2004"/>
      <c r="D1" s="2004"/>
      <c r="E1" s="2005"/>
      <c r="F1" s="2885"/>
      <c r="G1" s="1624"/>
      <c r="H1" s="1624"/>
      <c r="I1" s="1624"/>
      <c r="J1" s="1624"/>
      <c r="K1" s="1624"/>
      <c r="L1" s="1624"/>
      <c r="M1" s="1624"/>
      <c r="N1" s="1624"/>
      <c r="O1" s="1624"/>
      <c r="P1" s="1624"/>
      <c r="Q1" s="1624"/>
      <c r="R1" s="1624"/>
      <c r="S1" s="1624"/>
    </row>
    <row r="2" spans="1:22" ht="16" x14ac:dyDescent="0.2">
      <c r="A2" s="2006" t="s">
        <v>1907</v>
      </c>
      <c r="B2" s="2007">
        <f ca="1">SUMIF(B6:B13,"&lt;&gt;#ref!",B6:B13)</f>
        <v>265</v>
      </c>
      <c r="C2" s="2008" t="s">
        <v>2099</v>
      </c>
      <c r="D2" s="2009" t="s">
        <v>2100</v>
      </c>
      <c r="E2" s="2782">
        <f>SUM(E6:E13)</f>
        <v>58.81</v>
      </c>
      <c r="F2" s="2885"/>
      <c r="G2" s="1624"/>
      <c r="H2" s="1624"/>
      <c r="I2" s="1624"/>
      <c r="J2" s="1624"/>
      <c r="K2" s="1624"/>
      <c r="L2" s="1624"/>
      <c r="M2" s="1624"/>
      <c r="N2" s="1624"/>
      <c r="O2" s="1624"/>
      <c r="P2" s="1624"/>
      <c r="Q2" s="1624"/>
      <c r="R2" s="1624"/>
      <c r="S2" s="1624"/>
    </row>
    <row r="3" spans="1:22" ht="16" x14ac:dyDescent="0.2">
      <c r="A3" s="2006" t="s">
        <v>1119</v>
      </c>
      <c r="B3" s="2776">
        <f ca="1">ROUND(B2*10000/E2,0)</f>
        <v>45060</v>
      </c>
      <c r="C3" s="2008" t="s">
        <v>2107</v>
      </c>
      <c r="D3" s="2887"/>
      <c r="E3" s="2889"/>
      <c r="F3" s="2885"/>
      <c r="G3" s="1624"/>
      <c r="H3" s="1624"/>
      <c r="I3" s="1624"/>
      <c r="J3" s="1624"/>
      <c r="K3" s="1624"/>
      <c r="L3" s="1624"/>
      <c r="M3" s="1624"/>
      <c r="N3" s="1624"/>
      <c r="O3" s="1624"/>
      <c r="P3" s="1624"/>
      <c r="Q3" s="1624"/>
      <c r="R3" s="1624"/>
      <c r="S3" s="1624"/>
    </row>
    <row r="4" spans="1:22" ht="16" x14ac:dyDescent="0.2">
      <c r="A4" s="2890"/>
      <c r="B4" s="2887"/>
      <c r="C4" s="2887"/>
      <c r="D4" s="2887"/>
      <c r="E4" s="2889"/>
      <c r="F4" s="2885"/>
      <c r="G4" s="1624"/>
      <c r="H4" s="1624"/>
      <c r="I4" s="1624"/>
      <c r="J4" s="1624"/>
      <c r="K4" s="1624"/>
      <c r="L4" s="1624"/>
      <c r="M4" s="1624"/>
      <c r="N4" s="1624"/>
      <c r="O4" s="1624"/>
      <c r="P4" s="1624"/>
      <c r="Q4" s="1624"/>
      <c r="R4" s="1624"/>
      <c r="S4" s="1624"/>
    </row>
    <row r="5" spans="1:22" x14ac:dyDescent="0.2">
      <c r="A5" s="2778" t="s">
        <v>2101</v>
      </c>
      <c r="B5" s="3659" t="s">
        <v>2102</v>
      </c>
      <c r="C5" s="3660"/>
      <c r="D5" s="2886"/>
      <c r="E5" s="2010" t="s">
        <v>2103</v>
      </c>
      <c r="F5" s="2011" t="s">
        <v>2104</v>
      </c>
      <c r="G5" s="1624"/>
      <c r="H5" s="1624"/>
      <c r="I5" s="1624"/>
      <c r="J5" s="1624"/>
      <c r="K5" s="1624"/>
      <c r="L5" s="1624"/>
      <c r="M5" s="1624"/>
      <c r="N5" s="1624"/>
      <c r="O5" s="1624"/>
      <c r="P5" s="1624"/>
      <c r="Q5" s="1624"/>
      <c r="R5" s="1624"/>
      <c r="S5" s="1624"/>
    </row>
    <row r="6" spans="1:22" x14ac:dyDescent="0.2">
      <c r="A6" s="2779" t="str">
        <f>'数据-取费表'!AN6</f>
        <v>收益法-商业</v>
      </c>
      <c r="B6" s="2777">
        <f ca="1">IF(F6="是",'数据-取费表'!AO6,0)</f>
        <v>265</v>
      </c>
      <c r="C6" s="2008" t="s">
        <v>2099</v>
      </c>
      <c r="D6" s="2887"/>
      <c r="E6" s="2781">
        <f>IF(OR(A6=0,F6="否"),0,'数据-取费表'!K6+'数据-取费表'!S6)</f>
        <v>58.81</v>
      </c>
      <c r="F6" s="2012" t="s">
        <v>2105</v>
      </c>
      <c r="G6" s="1624"/>
      <c r="H6" s="1624"/>
      <c r="I6" s="1624"/>
      <c r="J6" s="1624"/>
      <c r="K6" s="1624"/>
      <c r="L6" s="1624"/>
      <c r="M6" s="1624"/>
      <c r="N6" s="1624"/>
      <c r="O6" s="1624"/>
      <c r="P6" s="1624"/>
      <c r="Q6" s="1624"/>
      <c r="R6" s="1624"/>
      <c r="S6" s="1624"/>
    </row>
    <row r="7" spans="1:22" x14ac:dyDescent="0.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x14ac:dyDescent="0.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x14ac:dyDescent="0.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x14ac:dyDescent="0.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x14ac:dyDescent="0.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x14ac:dyDescent="0.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x14ac:dyDescent="0.25">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x14ac:dyDescent="0.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x14ac:dyDescent="0.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x14ac:dyDescent="0.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x14ac:dyDescent="0.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x14ac:dyDescent="0.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x14ac:dyDescent="0.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x14ac:dyDescent="0.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x14ac:dyDescent="0.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x14ac:dyDescent="0.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x14ac:dyDescent="0.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x14ac:dyDescent="0.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x14ac:dyDescent="0.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x14ac:dyDescent="0.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x14ac:dyDescent="0.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x14ac:dyDescent="0.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x14ac:dyDescent="0.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x14ac:dyDescent="0.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x14ac:dyDescent="0.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view="pageBreakPreview" zoomScale="60" zoomScaleNormal="60" workbookViewId="0">
      <selection activeCell="F7" sqref="F7:F46"/>
    </sheetView>
  </sheetViews>
  <sheetFormatPr baseColWidth="10" defaultColWidth="9" defaultRowHeight="14" x14ac:dyDescent="0.2"/>
  <cols>
    <col min="1" max="1" width="10.5" style="363" customWidth="1"/>
    <col min="2" max="2" width="15.6640625" style="363" customWidth="1"/>
    <col min="3" max="3" width="15.1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2052"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353" customFormat="1" ht="28.5" customHeight="1" thickBot="1" x14ac:dyDescent="0.25">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x14ac:dyDescent="0.2">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x14ac:dyDescent="0.25">
      <c r="A3" s="209" t="s">
        <v>1119</v>
      </c>
      <c r="B3" s="359" t="e">
        <f ca="1">IF(C2="——",C49,ROUND(B2*10000/D3,0))</f>
        <v>#DIV/0!</v>
      </c>
      <c r="C3" s="360" t="s">
        <v>2114</v>
      </c>
      <c r="D3" s="359">
        <f>IF(D1="",'数据-汇总表'!E3,SUMIF('数据-汇总表'!$C19:$C33,D1,'数据-汇总表'!$E19:$E33))</f>
        <v>58.81</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x14ac:dyDescent="0.2">
      <c r="A4" s="361" t="s">
        <v>2115</v>
      </c>
      <c r="B4" s="362"/>
      <c r="C4" s="3679" t="s">
        <v>2116</v>
      </c>
      <c r="D4" s="3680"/>
      <c r="E4" s="3681" t="s">
        <v>2117</v>
      </c>
      <c r="F4" s="3682"/>
      <c r="G4" s="3679" t="s">
        <v>2118</v>
      </c>
      <c r="H4" s="3680"/>
      <c r="I4" s="3679" t="s">
        <v>2119</v>
      </c>
      <c r="J4" s="3680"/>
      <c r="K4" s="2025" t="s">
        <v>2120</v>
      </c>
      <c r="L4" s="2893"/>
      <c r="M4" s="2894"/>
      <c r="N4" s="2894"/>
      <c r="O4" s="2894"/>
      <c r="P4" s="3683" t="s">
        <v>2121</v>
      </c>
      <c r="Q4" s="3684"/>
      <c r="R4" s="3689" t="s">
        <v>2117</v>
      </c>
      <c r="S4" s="3690"/>
      <c r="T4" s="3689" t="s">
        <v>2118</v>
      </c>
      <c r="U4" s="3690"/>
      <c r="V4" s="3695" t="s">
        <v>2119</v>
      </c>
      <c r="W4" s="3695"/>
      <c r="X4" s="1489"/>
      <c r="Y4" s="3689" t="s">
        <v>2121</v>
      </c>
      <c r="Z4" s="3690"/>
      <c r="AA4" s="3676" t="s">
        <v>2117</v>
      </c>
      <c r="AB4" s="3676" t="s">
        <v>2118</v>
      </c>
      <c r="AC4" s="3676" t="s">
        <v>2119</v>
      </c>
    </row>
    <row r="5" spans="1:29" x14ac:dyDescent="0.2">
      <c r="A5" s="364"/>
      <c r="B5" s="365"/>
      <c r="C5" s="3698" t="s">
        <v>2122</v>
      </c>
      <c r="D5" s="3699"/>
      <c r="E5" s="3705" t="s">
        <v>2123</v>
      </c>
      <c r="F5" s="3706"/>
      <c r="G5" s="3698" t="s">
        <v>2124</v>
      </c>
      <c r="H5" s="3699"/>
      <c r="I5" s="3698" t="s">
        <v>2125</v>
      </c>
      <c r="J5" s="3699"/>
      <c r="K5" s="2026"/>
      <c r="L5" s="2893"/>
      <c r="M5" s="2894"/>
      <c r="N5" s="2894"/>
      <c r="O5" s="2894"/>
      <c r="P5" s="3685"/>
      <c r="Q5" s="3686"/>
      <c r="R5" s="3691"/>
      <c r="S5" s="3692"/>
      <c r="T5" s="3691"/>
      <c r="U5" s="3692"/>
      <c r="V5" s="3695"/>
      <c r="W5" s="3695"/>
      <c r="X5" s="1489"/>
      <c r="Y5" s="3691"/>
      <c r="Z5" s="3692"/>
      <c r="AA5" s="3677"/>
      <c r="AB5" s="3677"/>
      <c r="AC5" s="3677"/>
    </row>
    <row r="6" spans="1:29" ht="15" thickBot="1" x14ac:dyDescent="0.25">
      <c r="A6" s="366"/>
      <c r="B6" s="367"/>
      <c r="C6" s="3696" t="s">
        <v>2126</v>
      </c>
      <c r="D6" s="3697"/>
      <c r="E6" s="3703" t="s">
        <v>2126</v>
      </c>
      <c r="F6" s="3704"/>
      <c r="G6" s="3696" t="s">
        <v>2126</v>
      </c>
      <c r="H6" s="3697"/>
      <c r="I6" s="3696" t="s">
        <v>2126</v>
      </c>
      <c r="J6" s="3697"/>
      <c r="K6" s="2026" t="s">
        <v>2127</v>
      </c>
      <c r="L6" s="2893"/>
      <c r="M6" s="2894"/>
      <c r="N6" s="2894"/>
      <c r="O6" s="2894"/>
      <c r="P6" s="3687"/>
      <c r="Q6" s="3688"/>
      <c r="R6" s="3691"/>
      <c r="S6" s="3692"/>
      <c r="T6" s="3693"/>
      <c r="U6" s="3694"/>
      <c r="V6" s="3695"/>
      <c r="W6" s="3695"/>
      <c r="X6" s="1489"/>
      <c r="Y6" s="3693"/>
      <c r="Z6" s="3694"/>
      <c r="AA6" s="3678"/>
      <c r="AB6" s="3678"/>
      <c r="AC6" s="3678"/>
    </row>
    <row r="7" spans="1:29" s="113" customFormat="1" ht="15" thickBot="1" x14ac:dyDescent="0.25">
      <c r="A7" s="368" t="s">
        <v>2128</v>
      </c>
      <c r="B7" s="369"/>
      <c r="C7" s="370">
        <f>'数据-取费表'!B2</f>
        <v>44868</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700" t="s">
        <v>2129</v>
      </c>
      <c r="Q7" s="3702"/>
      <c r="R7" s="709" t="s">
        <v>23</v>
      </c>
      <c r="S7" s="710">
        <f t="shared" ref="S7:S15" si="0">F7</f>
        <v>0</v>
      </c>
      <c r="T7" s="709" t="s">
        <v>23</v>
      </c>
      <c r="U7" s="710">
        <f t="shared" ref="U7:U15" si="1">H7</f>
        <v>0</v>
      </c>
      <c r="V7" s="709" t="s">
        <v>23</v>
      </c>
      <c r="W7" s="710">
        <f t="shared" ref="W7:W15" si="2">J7</f>
        <v>0</v>
      </c>
      <c r="X7" s="711"/>
      <c r="Y7" s="3700" t="s">
        <v>2129</v>
      </c>
      <c r="Z7" s="3701"/>
      <c r="AA7" s="712" t="e">
        <f>D7/F7</f>
        <v>#DIV/0!</v>
      </c>
      <c r="AB7" s="712" t="e">
        <f>D7/H7</f>
        <v>#DIV/0!</v>
      </c>
      <c r="AC7" s="712" t="e">
        <f>D7/J7</f>
        <v>#DIV/0!</v>
      </c>
    </row>
    <row r="8" spans="1:29" s="113" customFormat="1" ht="15" thickBot="1" x14ac:dyDescent="0.25">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700" t="s">
        <v>2132</v>
      </c>
      <c r="Q8" s="3701"/>
      <c r="R8" s="709" t="s">
        <v>23</v>
      </c>
      <c r="S8" s="710">
        <f t="shared" si="0"/>
        <v>0</v>
      </c>
      <c r="T8" s="709" t="s">
        <v>23</v>
      </c>
      <c r="U8" s="710">
        <f t="shared" si="1"/>
        <v>0</v>
      </c>
      <c r="V8" s="709" t="s">
        <v>23</v>
      </c>
      <c r="W8" s="710">
        <f t="shared" si="2"/>
        <v>0</v>
      </c>
      <c r="X8" s="711"/>
      <c r="Y8" s="3700" t="s">
        <v>2132</v>
      </c>
      <c r="Z8" s="3701"/>
      <c r="AA8" s="712" t="e">
        <f t="shared" ref="AA8:AA19" si="3">D8/F8</f>
        <v>#DIV/0!</v>
      </c>
      <c r="AB8" s="712" t="e">
        <f t="shared" ref="AB8:AB19" si="4">D8/H8</f>
        <v>#DIV/0!</v>
      </c>
      <c r="AC8" s="712" t="e">
        <f t="shared" ref="AC8:AC19" si="5">D8/J8</f>
        <v>#DIV/0!</v>
      </c>
    </row>
    <row r="9" spans="1:29" s="113" customFormat="1" x14ac:dyDescent="0.2">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675" t="s">
        <v>2135</v>
      </c>
      <c r="Q9" s="1477" t="str">
        <f t="shared" ref="Q9:Q15" si="6">B9</f>
        <v>用途</v>
      </c>
      <c r="R9" s="709" t="s">
        <v>17</v>
      </c>
      <c r="S9" s="710">
        <f t="shared" si="0"/>
        <v>100</v>
      </c>
      <c r="T9" s="709" t="s">
        <v>17</v>
      </c>
      <c r="U9" s="710">
        <f t="shared" si="1"/>
        <v>100</v>
      </c>
      <c r="V9" s="709" t="s">
        <v>17</v>
      </c>
      <c r="W9" s="710">
        <f t="shared" si="2"/>
        <v>100</v>
      </c>
      <c r="X9" s="711"/>
      <c r="Y9" s="3536" t="s">
        <v>2136</v>
      </c>
      <c r="Z9" s="55" t="str">
        <f t="shared" ref="Z9:Z15" si="7">Q9</f>
        <v>用途</v>
      </c>
      <c r="AA9" s="712">
        <f t="shared" si="3"/>
        <v>1</v>
      </c>
      <c r="AB9" s="712">
        <f t="shared" si="4"/>
        <v>1</v>
      </c>
      <c r="AC9" s="712">
        <f t="shared" si="5"/>
        <v>1</v>
      </c>
    </row>
    <row r="10" spans="1:29" s="386" customFormat="1" ht="28" x14ac:dyDescent="0.2">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675"/>
      <c r="Q10" s="1477" t="str">
        <f t="shared" si="6"/>
        <v>土地使用年限（年）</v>
      </c>
      <c r="R10" s="709" t="s">
        <v>17</v>
      </c>
      <c r="S10" s="710">
        <f t="shared" si="0"/>
        <v>100</v>
      </c>
      <c r="T10" s="709" t="s">
        <v>17</v>
      </c>
      <c r="U10" s="710">
        <f t="shared" si="1"/>
        <v>100</v>
      </c>
      <c r="V10" s="709" t="s">
        <v>17</v>
      </c>
      <c r="W10" s="710">
        <f t="shared" si="2"/>
        <v>100</v>
      </c>
      <c r="X10" s="711"/>
      <c r="Y10" s="3536"/>
      <c r="Z10" s="55" t="str">
        <f t="shared" si="7"/>
        <v>土地使用年限（年）</v>
      </c>
      <c r="AA10" s="712">
        <f t="shared" si="3"/>
        <v>1</v>
      </c>
      <c r="AB10" s="712">
        <f t="shared" si="4"/>
        <v>1</v>
      </c>
      <c r="AC10" s="712">
        <f t="shared" si="5"/>
        <v>1</v>
      </c>
    </row>
    <row r="11" spans="1:29" ht="16" x14ac:dyDescent="0.2">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675"/>
      <c r="Q11" s="1477" t="str">
        <f t="shared" si="6"/>
        <v>容积率</v>
      </c>
      <c r="R11" s="709" t="s">
        <v>21</v>
      </c>
      <c r="S11" s="710" t="e">
        <f t="shared" si="0"/>
        <v>#N/A</v>
      </c>
      <c r="T11" s="709" t="s">
        <v>21</v>
      </c>
      <c r="U11" s="710" t="e">
        <f t="shared" si="1"/>
        <v>#N/A</v>
      </c>
      <c r="V11" s="709" t="s">
        <v>21</v>
      </c>
      <c r="W11" s="710" t="e">
        <f t="shared" si="2"/>
        <v>#N/A</v>
      </c>
      <c r="X11" s="711"/>
      <c r="Y11" s="3536"/>
      <c r="Z11" s="55" t="str">
        <f t="shared" si="7"/>
        <v>容积率</v>
      </c>
      <c r="AA11" s="712" t="e">
        <f t="shared" si="3"/>
        <v>#N/A</v>
      </c>
      <c r="AB11" s="712" t="e">
        <f t="shared" si="4"/>
        <v>#N/A</v>
      </c>
      <c r="AC11" s="712" t="e">
        <f t="shared" si="5"/>
        <v>#N/A</v>
      </c>
    </row>
    <row r="12" spans="1:29" s="113" customFormat="1" ht="16" x14ac:dyDescent="0.2">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675"/>
      <c r="Q12" s="1477">
        <f t="shared" si="6"/>
        <v>111</v>
      </c>
      <c r="R12" s="709" t="s">
        <v>21</v>
      </c>
      <c r="S12" s="710">
        <f t="shared" si="0"/>
        <v>100</v>
      </c>
      <c r="T12" s="709" t="s">
        <v>21</v>
      </c>
      <c r="U12" s="710">
        <f t="shared" si="1"/>
        <v>100</v>
      </c>
      <c r="V12" s="709" t="s">
        <v>21</v>
      </c>
      <c r="W12" s="710">
        <f t="shared" si="2"/>
        <v>100</v>
      </c>
      <c r="X12" s="711"/>
      <c r="Y12" s="3536"/>
      <c r="Z12" s="55">
        <f t="shared" si="7"/>
        <v>111</v>
      </c>
      <c r="AA12" s="712">
        <f>D12/F12</f>
        <v>1</v>
      </c>
      <c r="AB12" s="712">
        <f>D12/H12</f>
        <v>1</v>
      </c>
      <c r="AC12" s="712">
        <f>D12/J12</f>
        <v>1</v>
      </c>
    </row>
    <row r="13" spans="1:29" ht="16" x14ac:dyDescent="0.2">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675"/>
      <c r="Q13" s="1477">
        <f t="shared" si="6"/>
        <v>111</v>
      </c>
      <c r="R13" s="709" t="s">
        <v>21</v>
      </c>
      <c r="S13" s="710">
        <f t="shared" si="0"/>
        <v>100</v>
      </c>
      <c r="T13" s="709" t="s">
        <v>21</v>
      </c>
      <c r="U13" s="710">
        <f t="shared" si="1"/>
        <v>100</v>
      </c>
      <c r="V13" s="709" t="s">
        <v>21</v>
      </c>
      <c r="W13" s="710">
        <f t="shared" si="2"/>
        <v>100</v>
      </c>
      <c r="X13" s="711"/>
      <c r="Y13" s="3536"/>
      <c r="Z13" s="55">
        <f t="shared" si="7"/>
        <v>111</v>
      </c>
      <c r="AA13" s="712">
        <f t="shared" si="3"/>
        <v>1</v>
      </c>
      <c r="AB13" s="712">
        <f t="shared" si="4"/>
        <v>1</v>
      </c>
      <c r="AC13" s="712">
        <f t="shared" si="5"/>
        <v>1</v>
      </c>
    </row>
    <row r="14" spans="1:29" ht="17" thickBot="1" x14ac:dyDescent="0.25">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675"/>
      <c r="Q14" s="1477">
        <f t="shared" si="6"/>
        <v>111</v>
      </c>
      <c r="R14" s="709" t="s">
        <v>21</v>
      </c>
      <c r="S14" s="710">
        <f t="shared" si="0"/>
        <v>100</v>
      </c>
      <c r="T14" s="709" t="s">
        <v>21</v>
      </c>
      <c r="U14" s="710">
        <f t="shared" si="1"/>
        <v>100</v>
      </c>
      <c r="V14" s="709" t="s">
        <v>21</v>
      </c>
      <c r="W14" s="710">
        <f t="shared" si="2"/>
        <v>100</v>
      </c>
      <c r="X14" s="711"/>
      <c r="Y14" s="3536"/>
      <c r="Z14" s="55">
        <f t="shared" si="7"/>
        <v>111</v>
      </c>
      <c r="AA14" s="712">
        <f t="shared" si="3"/>
        <v>1</v>
      </c>
      <c r="AB14" s="712">
        <f t="shared" si="4"/>
        <v>1</v>
      </c>
      <c r="AC14" s="712">
        <f t="shared" si="5"/>
        <v>1</v>
      </c>
    </row>
    <row r="15" spans="1:29" ht="98" x14ac:dyDescent="0.2">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673" t="s">
        <v>2140</v>
      </c>
      <c r="Q15" s="1486" t="str">
        <f t="shared" si="6"/>
        <v>居住社区成熟度</v>
      </c>
      <c r="R15" s="713" t="s">
        <v>21</v>
      </c>
      <c r="S15" s="714">
        <f t="shared" si="0"/>
        <v>100</v>
      </c>
      <c r="T15" s="713" t="s">
        <v>21</v>
      </c>
      <c r="U15" s="714">
        <f t="shared" si="1"/>
        <v>100</v>
      </c>
      <c r="V15" s="713" t="s">
        <v>21</v>
      </c>
      <c r="W15" s="714">
        <f t="shared" si="2"/>
        <v>100</v>
      </c>
      <c r="X15" s="1489"/>
      <c r="Y15" s="3666" t="s">
        <v>2140</v>
      </c>
      <c r="Z15" s="1490" t="str">
        <f t="shared" si="7"/>
        <v>居住社区成熟度</v>
      </c>
      <c r="AA15" s="1487">
        <f t="shared" si="3"/>
        <v>1</v>
      </c>
      <c r="AB15" s="1487">
        <f t="shared" si="4"/>
        <v>1</v>
      </c>
      <c r="AC15" s="1487">
        <f t="shared" si="5"/>
        <v>1</v>
      </c>
    </row>
    <row r="16" spans="1:29" ht="16" x14ac:dyDescent="0.2">
      <c r="A16" s="387"/>
      <c r="B16" s="405"/>
      <c r="C16" s="406"/>
      <c r="D16" s="407"/>
      <c r="E16" s="2033"/>
      <c r="F16" s="407"/>
      <c r="G16" s="2034"/>
      <c r="H16" s="409"/>
      <c r="I16" s="2034"/>
      <c r="J16" s="407"/>
      <c r="K16" s="2035"/>
      <c r="L16" s="2900"/>
      <c r="M16" s="2894"/>
      <c r="N16" s="2894"/>
      <c r="O16" s="2894"/>
      <c r="P16" s="3674"/>
      <c r="Q16" s="1486"/>
      <c r="R16" s="713"/>
      <c r="S16" s="714"/>
      <c r="T16" s="713"/>
      <c r="U16" s="714"/>
      <c r="V16" s="713"/>
      <c r="W16" s="714"/>
      <c r="X16" s="1489"/>
      <c r="Y16" s="3667"/>
      <c r="Z16" s="1490"/>
      <c r="AA16" s="1487">
        <v>1</v>
      </c>
      <c r="AB16" s="1487">
        <v>1</v>
      </c>
      <c r="AC16" s="1487">
        <v>1</v>
      </c>
    </row>
    <row r="17" spans="1:29" ht="84" x14ac:dyDescent="0.2">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674"/>
      <c r="Q17" s="1486" t="str">
        <f>B17</f>
        <v>交通便捷度</v>
      </c>
      <c r="R17" s="713" t="s">
        <v>21</v>
      </c>
      <c r="S17" s="714">
        <f>F17</f>
        <v>100</v>
      </c>
      <c r="T17" s="713" t="s">
        <v>21</v>
      </c>
      <c r="U17" s="714">
        <f>H17</f>
        <v>100</v>
      </c>
      <c r="V17" s="713" t="s">
        <v>21</v>
      </c>
      <c r="W17" s="714">
        <f>J17</f>
        <v>100</v>
      </c>
      <c r="X17" s="1489"/>
      <c r="Y17" s="3667"/>
      <c r="Z17" s="1490" t="str">
        <f>Q17</f>
        <v>交通便捷度</v>
      </c>
      <c r="AA17" s="1487">
        <f t="shared" si="3"/>
        <v>1</v>
      </c>
      <c r="AB17" s="1487">
        <f t="shared" si="4"/>
        <v>1</v>
      </c>
      <c r="AC17" s="1487">
        <f t="shared" si="5"/>
        <v>1</v>
      </c>
    </row>
    <row r="18" spans="1:29" ht="16" x14ac:dyDescent="0.2">
      <c r="A18" s="387"/>
      <c r="B18" s="415"/>
      <c r="C18" s="2037"/>
      <c r="D18" s="409"/>
      <c r="E18" s="2038"/>
      <c r="F18" s="409"/>
      <c r="G18" s="2039"/>
      <c r="H18" s="407"/>
      <c r="I18" s="2039"/>
      <c r="J18" s="407"/>
      <c r="K18" s="2035"/>
      <c r="L18" s="2900"/>
      <c r="M18" s="2894"/>
      <c r="N18" s="2894"/>
      <c r="O18" s="2894"/>
      <c r="P18" s="3674"/>
      <c r="Q18" s="1486"/>
      <c r="R18" s="713"/>
      <c r="S18" s="714"/>
      <c r="T18" s="713"/>
      <c r="U18" s="714"/>
      <c r="V18" s="713"/>
      <c r="W18" s="714"/>
      <c r="X18" s="1489"/>
      <c r="Y18" s="3667"/>
      <c r="Z18" s="1490"/>
      <c r="AA18" s="1487">
        <v>1</v>
      </c>
      <c r="AB18" s="1487">
        <v>1</v>
      </c>
      <c r="AC18" s="1487">
        <v>1</v>
      </c>
    </row>
    <row r="19" spans="1:29" ht="42" x14ac:dyDescent="0.2">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674"/>
      <c r="Q19" s="1486" t="str">
        <f>B19</f>
        <v>公共配套设施</v>
      </c>
      <c r="R19" s="713" t="s">
        <v>21</v>
      </c>
      <c r="S19" s="714">
        <f>F19</f>
        <v>100</v>
      </c>
      <c r="T19" s="713" t="s">
        <v>21</v>
      </c>
      <c r="U19" s="714">
        <f>H19</f>
        <v>100</v>
      </c>
      <c r="V19" s="713" t="s">
        <v>21</v>
      </c>
      <c r="W19" s="714">
        <f>J19</f>
        <v>100</v>
      </c>
      <c r="X19" s="1489"/>
      <c r="Y19" s="3667"/>
      <c r="Z19" s="1490" t="str">
        <f>Q19</f>
        <v>公共配套设施</v>
      </c>
      <c r="AA19" s="1487">
        <f t="shared" si="3"/>
        <v>1</v>
      </c>
      <c r="AB19" s="1487">
        <f t="shared" si="4"/>
        <v>1</v>
      </c>
      <c r="AC19" s="1487">
        <f t="shared" si="5"/>
        <v>1</v>
      </c>
    </row>
    <row r="20" spans="1:29" ht="16" x14ac:dyDescent="0.2">
      <c r="A20" s="387"/>
      <c r="B20" s="415"/>
      <c r="C20" s="406"/>
      <c r="D20" s="407"/>
      <c r="E20" s="2033"/>
      <c r="F20" s="407"/>
      <c r="G20" s="2034"/>
      <c r="H20" s="407"/>
      <c r="I20" s="2034"/>
      <c r="J20" s="407"/>
      <c r="K20" s="2035"/>
      <c r="L20" s="2900"/>
      <c r="M20" s="2894"/>
      <c r="N20" s="2894"/>
      <c r="O20" s="2894"/>
      <c r="P20" s="3674"/>
      <c r="Q20" s="1486"/>
      <c r="R20" s="713"/>
      <c r="S20" s="714"/>
      <c r="T20" s="713"/>
      <c r="U20" s="714"/>
      <c r="V20" s="713"/>
      <c r="W20" s="714"/>
      <c r="X20" s="1489"/>
      <c r="Y20" s="3667"/>
      <c r="Z20" s="1490"/>
      <c r="AA20" s="1487">
        <v>1</v>
      </c>
      <c r="AB20" s="1487">
        <v>1</v>
      </c>
      <c r="AC20" s="1487">
        <v>1</v>
      </c>
    </row>
    <row r="21" spans="1:29" ht="28" x14ac:dyDescent="0.2">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674"/>
      <c r="Q21" s="1486" t="str">
        <f>B21</f>
        <v>基础设施水平</v>
      </c>
      <c r="R21" s="713" t="s">
        <v>17</v>
      </c>
      <c r="S21" s="714">
        <f>F21</f>
        <v>100</v>
      </c>
      <c r="T21" s="713" t="s">
        <v>17</v>
      </c>
      <c r="U21" s="714">
        <f>H21</f>
        <v>100</v>
      </c>
      <c r="V21" s="713" t="s">
        <v>17</v>
      </c>
      <c r="W21" s="714">
        <f>J21</f>
        <v>100</v>
      </c>
      <c r="X21" s="1489"/>
      <c r="Y21" s="3667"/>
      <c r="Z21" s="1490" t="str">
        <f>Q21</f>
        <v>基础设施水平</v>
      </c>
      <c r="AA21" s="1487">
        <f t="shared" ref="AA21" si="8">D21/F21</f>
        <v>1</v>
      </c>
      <c r="AB21" s="1487">
        <f t="shared" ref="AB21" si="9">D21/H21</f>
        <v>1</v>
      </c>
      <c r="AC21" s="1487">
        <f t="shared" ref="AC21" si="10">D21/J21</f>
        <v>1</v>
      </c>
    </row>
    <row r="22" spans="1:29" ht="16" x14ac:dyDescent="0.2">
      <c r="A22" s="387"/>
      <c r="B22" s="1245"/>
      <c r="C22" s="2037"/>
      <c r="D22" s="407"/>
      <c r="E22" s="406"/>
      <c r="F22" s="407"/>
      <c r="G22" s="2040"/>
      <c r="H22" s="407"/>
      <c r="I22" s="406"/>
      <c r="J22" s="407"/>
      <c r="K22" s="2041"/>
      <c r="L22" s="2900"/>
      <c r="M22" s="2894"/>
      <c r="N22" s="2894"/>
      <c r="O22" s="2894"/>
      <c r="P22" s="3674"/>
      <c r="Q22" s="1486"/>
      <c r="R22" s="713"/>
      <c r="S22" s="714"/>
      <c r="T22" s="713"/>
      <c r="U22" s="714"/>
      <c r="V22" s="713"/>
      <c r="W22" s="714"/>
      <c r="X22" s="1489"/>
      <c r="Y22" s="3667"/>
      <c r="Z22" s="1490"/>
      <c r="AA22" s="1487">
        <v>1</v>
      </c>
      <c r="AB22" s="1487">
        <v>1</v>
      </c>
      <c r="AC22" s="1487">
        <v>1</v>
      </c>
    </row>
    <row r="23" spans="1:29" ht="56" x14ac:dyDescent="0.2">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674"/>
      <c r="Q23" s="1486" t="str">
        <f>B23</f>
        <v>自然及人文环境</v>
      </c>
      <c r="R23" s="713" t="s">
        <v>21</v>
      </c>
      <c r="S23" s="714">
        <f>F23</f>
        <v>100</v>
      </c>
      <c r="T23" s="713" t="s">
        <v>21</v>
      </c>
      <c r="U23" s="714">
        <f>H23</f>
        <v>100</v>
      </c>
      <c r="V23" s="713" t="s">
        <v>21</v>
      </c>
      <c r="W23" s="714">
        <f>J23</f>
        <v>100</v>
      </c>
      <c r="X23" s="1489"/>
      <c r="Y23" s="3667"/>
      <c r="Z23" s="1490" t="str">
        <f>Q23</f>
        <v>自然及人文环境</v>
      </c>
      <c r="AA23" s="1487">
        <f>D23/F23</f>
        <v>1</v>
      </c>
      <c r="AB23" s="1487">
        <f>D23/H23</f>
        <v>1</v>
      </c>
      <c r="AC23" s="1487">
        <f>D23/J23</f>
        <v>1</v>
      </c>
    </row>
    <row r="24" spans="1:29" ht="16" x14ac:dyDescent="0.2">
      <c r="A24" s="387"/>
      <c r="B24" s="415"/>
      <c r="C24" s="406"/>
      <c r="D24" s="407"/>
      <c r="E24" s="2033"/>
      <c r="F24" s="407"/>
      <c r="G24" s="2034"/>
      <c r="H24" s="407"/>
      <c r="I24" s="2034"/>
      <c r="J24" s="407"/>
      <c r="K24" s="2035"/>
      <c r="L24" s="2900"/>
      <c r="M24" s="2894"/>
      <c r="N24" s="2894"/>
      <c r="O24" s="2894"/>
      <c r="P24" s="3674"/>
      <c r="Q24" s="1486"/>
      <c r="R24" s="713"/>
      <c r="S24" s="714"/>
      <c r="T24" s="713"/>
      <c r="U24" s="714"/>
      <c r="V24" s="713"/>
      <c r="W24" s="714"/>
      <c r="X24" s="1489"/>
      <c r="Y24" s="3667"/>
      <c r="Z24" s="1490"/>
      <c r="AA24" s="1487">
        <v>1</v>
      </c>
      <c r="AB24" s="1487">
        <v>1</v>
      </c>
      <c r="AC24" s="1487">
        <v>1</v>
      </c>
    </row>
    <row r="25" spans="1:29" ht="16" x14ac:dyDescent="0.2">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674"/>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667"/>
      <c r="Z25" s="1490" t="str">
        <f>Q25</f>
        <v>楼层-1</v>
      </c>
      <c r="AA25" s="1487">
        <f t="shared" ref="AA25:AA46" si="15">D25/F25</f>
        <v>1</v>
      </c>
      <c r="AB25" s="1487">
        <f t="shared" ref="AB25:AB46" si="16">D25/H25</f>
        <v>1</v>
      </c>
      <c r="AC25" s="1487">
        <f t="shared" ref="AC25:AC46" si="17">D25/J25</f>
        <v>1</v>
      </c>
    </row>
    <row r="26" spans="1:29" ht="16" x14ac:dyDescent="0.2">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674"/>
      <c r="Q26" s="1486" t="str">
        <f t="shared" si="11"/>
        <v>朝向</v>
      </c>
      <c r="R26" s="713" t="s">
        <v>21</v>
      </c>
      <c r="S26" s="714">
        <f t="shared" si="12"/>
        <v>100</v>
      </c>
      <c r="T26" s="713" t="s">
        <v>21</v>
      </c>
      <c r="U26" s="714">
        <f t="shared" si="13"/>
        <v>100</v>
      </c>
      <c r="V26" s="713" t="s">
        <v>21</v>
      </c>
      <c r="W26" s="714">
        <f t="shared" si="14"/>
        <v>100</v>
      </c>
      <c r="X26" s="1489"/>
      <c r="Y26" s="3667"/>
      <c r="Z26" s="1490" t="str">
        <f>Q26</f>
        <v>朝向</v>
      </c>
      <c r="AA26" s="1487">
        <f t="shared" si="15"/>
        <v>1</v>
      </c>
      <c r="AB26" s="1487">
        <f t="shared" si="16"/>
        <v>1</v>
      </c>
      <c r="AC26" s="1487">
        <f t="shared" si="17"/>
        <v>1</v>
      </c>
    </row>
    <row r="27" spans="1:29" s="113" customFormat="1" ht="16" x14ac:dyDescent="0.2">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674"/>
      <c r="Q27" s="1477">
        <f t="shared" si="11"/>
        <v>111</v>
      </c>
      <c r="R27" s="709" t="s">
        <v>21</v>
      </c>
      <c r="S27" s="710">
        <f t="shared" si="12"/>
        <v>100</v>
      </c>
      <c r="T27" s="709" t="s">
        <v>21</v>
      </c>
      <c r="U27" s="710">
        <f t="shared" si="13"/>
        <v>100</v>
      </c>
      <c r="V27" s="709" t="s">
        <v>21</v>
      </c>
      <c r="W27" s="710">
        <f t="shared" si="14"/>
        <v>100</v>
      </c>
      <c r="X27" s="711"/>
      <c r="Y27" s="3667"/>
      <c r="Z27" s="55">
        <f>Q27</f>
        <v>111</v>
      </c>
      <c r="AA27" s="1487">
        <f t="shared" si="15"/>
        <v>1</v>
      </c>
      <c r="AB27" s="1487">
        <f t="shared" si="16"/>
        <v>1</v>
      </c>
      <c r="AC27" s="1487">
        <f t="shared" si="17"/>
        <v>1</v>
      </c>
    </row>
    <row r="28" spans="1:29" ht="16" x14ac:dyDescent="0.2">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674"/>
      <c r="Q28" s="1486">
        <f t="shared" si="11"/>
        <v>111</v>
      </c>
      <c r="R28" s="713" t="s">
        <v>21</v>
      </c>
      <c r="S28" s="714">
        <f t="shared" si="12"/>
        <v>100</v>
      </c>
      <c r="T28" s="713" t="s">
        <v>21</v>
      </c>
      <c r="U28" s="714">
        <f t="shared" si="13"/>
        <v>100</v>
      </c>
      <c r="V28" s="713" t="s">
        <v>21</v>
      </c>
      <c r="W28" s="714">
        <f t="shared" si="14"/>
        <v>100</v>
      </c>
      <c r="X28" s="1489"/>
      <c r="Y28" s="3667"/>
      <c r="Z28" s="1490">
        <f t="shared" ref="Z28:Z46" si="18">Q28</f>
        <v>111</v>
      </c>
      <c r="AA28" s="1487">
        <f t="shared" si="15"/>
        <v>1</v>
      </c>
      <c r="AB28" s="1487">
        <f t="shared" si="16"/>
        <v>1</v>
      </c>
      <c r="AC28" s="1487">
        <f t="shared" si="17"/>
        <v>1</v>
      </c>
    </row>
    <row r="29" spans="1:29" ht="16" x14ac:dyDescent="0.2">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674"/>
      <c r="Q29" s="1486">
        <f t="shared" si="11"/>
        <v>111</v>
      </c>
      <c r="R29" s="713" t="s">
        <v>21</v>
      </c>
      <c r="S29" s="714">
        <f t="shared" si="12"/>
        <v>100</v>
      </c>
      <c r="T29" s="713" t="s">
        <v>21</v>
      </c>
      <c r="U29" s="714">
        <f t="shared" si="13"/>
        <v>100</v>
      </c>
      <c r="V29" s="713" t="s">
        <v>21</v>
      </c>
      <c r="W29" s="714">
        <f t="shared" si="14"/>
        <v>100</v>
      </c>
      <c r="X29" s="1489"/>
      <c r="Y29" s="3667"/>
      <c r="Z29" s="1490">
        <f t="shared" si="18"/>
        <v>111</v>
      </c>
      <c r="AA29" s="1487">
        <f t="shared" si="15"/>
        <v>1</v>
      </c>
      <c r="AB29" s="1487">
        <f t="shared" si="16"/>
        <v>1</v>
      </c>
      <c r="AC29" s="1487">
        <f t="shared" si="17"/>
        <v>1</v>
      </c>
    </row>
    <row r="30" spans="1:29" ht="16" x14ac:dyDescent="0.2">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674"/>
      <c r="Q30" s="1486">
        <f t="shared" si="11"/>
        <v>111</v>
      </c>
      <c r="R30" s="713" t="s">
        <v>21</v>
      </c>
      <c r="S30" s="714">
        <f t="shared" si="12"/>
        <v>100</v>
      </c>
      <c r="T30" s="713" t="s">
        <v>21</v>
      </c>
      <c r="U30" s="714">
        <f t="shared" si="13"/>
        <v>100</v>
      </c>
      <c r="V30" s="713" t="s">
        <v>21</v>
      </c>
      <c r="W30" s="714">
        <f t="shared" si="14"/>
        <v>100</v>
      </c>
      <c r="X30" s="1489"/>
      <c r="Y30" s="3667"/>
      <c r="Z30" s="1490">
        <f t="shared" si="18"/>
        <v>111</v>
      </c>
      <c r="AA30" s="1487">
        <f t="shared" si="15"/>
        <v>1</v>
      </c>
      <c r="AB30" s="1487">
        <f t="shared" si="16"/>
        <v>1</v>
      </c>
      <c r="AC30" s="1487">
        <f t="shared" si="17"/>
        <v>1</v>
      </c>
    </row>
    <row r="31" spans="1:29" ht="17" thickBot="1" x14ac:dyDescent="0.25">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674"/>
      <c r="Q31" s="1486">
        <f t="shared" si="11"/>
        <v>111</v>
      </c>
      <c r="R31" s="713" t="s">
        <v>21</v>
      </c>
      <c r="S31" s="714">
        <f t="shared" si="12"/>
        <v>100</v>
      </c>
      <c r="T31" s="713" t="s">
        <v>21</v>
      </c>
      <c r="U31" s="714">
        <f t="shared" si="13"/>
        <v>100</v>
      </c>
      <c r="V31" s="713" t="s">
        <v>21</v>
      </c>
      <c r="W31" s="714">
        <f t="shared" si="14"/>
        <v>100</v>
      </c>
      <c r="X31" s="1489"/>
      <c r="Y31" s="3667"/>
      <c r="Z31" s="1490">
        <f t="shared" si="18"/>
        <v>111</v>
      </c>
      <c r="AA31" s="1487">
        <f t="shared" si="15"/>
        <v>1</v>
      </c>
      <c r="AB31" s="1487">
        <f t="shared" si="16"/>
        <v>1</v>
      </c>
      <c r="AC31" s="1487">
        <f t="shared" si="17"/>
        <v>1</v>
      </c>
    </row>
    <row r="32" spans="1:29" ht="16" x14ac:dyDescent="0.2">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668" t="s">
        <v>2145</v>
      </c>
      <c r="Q32" s="1486" t="str">
        <f t="shared" si="11"/>
        <v>建筑类型</v>
      </c>
      <c r="R32" s="713" t="s">
        <v>21</v>
      </c>
      <c r="S32" s="714">
        <f t="shared" si="12"/>
        <v>100</v>
      </c>
      <c r="T32" s="713" t="s">
        <v>21</v>
      </c>
      <c r="U32" s="714">
        <f t="shared" si="13"/>
        <v>100</v>
      </c>
      <c r="V32" s="713" t="s">
        <v>21</v>
      </c>
      <c r="W32" s="714">
        <f t="shared" si="14"/>
        <v>100</v>
      </c>
      <c r="X32" s="1489"/>
      <c r="Y32" s="3671" t="s">
        <v>2145</v>
      </c>
      <c r="Z32" s="1490" t="str">
        <f t="shared" si="18"/>
        <v>建筑类型</v>
      </c>
      <c r="AA32" s="1487">
        <f t="shared" si="15"/>
        <v>1</v>
      </c>
      <c r="AB32" s="1487">
        <f t="shared" si="16"/>
        <v>1</v>
      </c>
      <c r="AC32" s="1487">
        <f t="shared" si="17"/>
        <v>1</v>
      </c>
    </row>
    <row r="33" spans="1:29" s="430" customFormat="1" ht="16" x14ac:dyDescent="0.2">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669"/>
      <c r="Q33" s="715" t="str">
        <f t="shared" si="11"/>
        <v>项目建筑规模</v>
      </c>
      <c r="R33" s="716" t="s">
        <v>21</v>
      </c>
      <c r="S33" s="717" t="e">
        <f t="shared" si="12"/>
        <v>#N/A</v>
      </c>
      <c r="T33" s="716" t="s">
        <v>21</v>
      </c>
      <c r="U33" s="717" t="e">
        <f t="shared" si="13"/>
        <v>#N/A</v>
      </c>
      <c r="V33" s="716" t="s">
        <v>21</v>
      </c>
      <c r="W33" s="717" t="e">
        <f t="shared" si="14"/>
        <v>#N/A</v>
      </c>
      <c r="X33" s="718"/>
      <c r="Y33" s="3671"/>
      <c r="Z33" s="719" t="str">
        <f t="shared" si="18"/>
        <v>项目建筑规模</v>
      </c>
      <c r="AA33" s="1487" t="e">
        <f t="shared" si="15"/>
        <v>#N/A</v>
      </c>
      <c r="AB33" s="1487" t="e">
        <f t="shared" si="16"/>
        <v>#N/A</v>
      </c>
      <c r="AC33" s="1487" t="e">
        <f t="shared" si="17"/>
        <v>#N/A</v>
      </c>
    </row>
    <row r="34" spans="1:29" ht="16" x14ac:dyDescent="0.2">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669"/>
      <c r="Q34" s="1486" t="str">
        <f t="shared" si="11"/>
        <v>建筑结构</v>
      </c>
      <c r="R34" s="713" t="s">
        <v>21</v>
      </c>
      <c r="S34" s="714">
        <f t="shared" si="12"/>
        <v>100</v>
      </c>
      <c r="T34" s="713" t="s">
        <v>21</v>
      </c>
      <c r="U34" s="714">
        <f t="shared" si="13"/>
        <v>100</v>
      </c>
      <c r="V34" s="713" t="s">
        <v>21</v>
      </c>
      <c r="W34" s="714">
        <f t="shared" si="14"/>
        <v>100</v>
      </c>
      <c r="X34" s="1489"/>
      <c r="Y34" s="3671"/>
      <c r="Z34" s="1490" t="str">
        <f t="shared" si="18"/>
        <v>建筑结构</v>
      </c>
      <c r="AA34" s="1487">
        <f t="shared" si="15"/>
        <v>1</v>
      </c>
      <c r="AB34" s="1487">
        <f t="shared" si="16"/>
        <v>1</v>
      </c>
      <c r="AC34" s="1487">
        <f t="shared" si="17"/>
        <v>1</v>
      </c>
    </row>
    <row r="35" spans="1:29" ht="16" x14ac:dyDescent="0.2">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669"/>
      <c r="Q35" s="1486" t="str">
        <f t="shared" si="11"/>
        <v>建筑品质</v>
      </c>
      <c r="R35" s="713" t="s">
        <v>21</v>
      </c>
      <c r="S35" s="714">
        <f t="shared" si="12"/>
        <v>100</v>
      </c>
      <c r="T35" s="713" t="s">
        <v>21</v>
      </c>
      <c r="U35" s="714">
        <f t="shared" si="13"/>
        <v>100</v>
      </c>
      <c r="V35" s="713" t="s">
        <v>21</v>
      </c>
      <c r="W35" s="714">
        <f t="shared" si="14"/>
        <v>100</v>
      </c>
      <c r="X35" s="1489"/>
      <c r="Y35" s="3671"/>
      <c r="Z35" s="1490" t="str">
        <f t="shared" si="18"/>
        <v>建筑品质</v>
      </c>
      <c r="AA35" s="1487">
        <f t="shared" si="15"/>
        <v>1</v>
      </c>
      <c r="AB35" s="1487">
        <f t="shared" si="16"/>
        <v>1</v>
      </c>
      <c r="AC35" s="1487">
        <f t="shared" si="17"/>
        <v>1</v>
      </c>
    </row>
    <row r="36" spans="1:29" ht="16" x14ac:dyDescent="0.2">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669"/>
      <c r="Q36" s="1486" t="str">
        <f t="shared" si="11"/>
        <v>公共部分装修</v>
      </c>
      <c r="R36" s="713" t="s">
        <v>21</v>
      </c>
      <c r="S36" s="714">
        <f t="shared" si="12"/>
        <v>100</v>
      </c>
      <c r="T36" s="713" t="s">
        <v>21</v>
      </c>
      <c r="U36" s="714">
        <f t="shared" si="13"/>
        <v>100</v>
      </c>
      <c r="V36" s="713" t="s">
        <v>21</v>
      </c>
      <c r="W36" s="714">
        <f t="shared" si="14"/>
        <v>100</v>
      </c>
      <c r="X36" s="1489"/>
      <c r="Y36" s="3671"/>
      <c r="Z36" s="1490" t="str">
        <f t="shared" si="18"/>
        <v>公共部分装修</v>
      </c>
      <c r="AA36" s="1487">
        <f t="shared" si="15"/>
        <v>1</v>
      </c>
      <c r="AB36" s="1487">
        <f t="shared" si="16"/>
        <v>1</v>
      </c>
      <c r="AC36" s="1487">
        <f t="shared" si="17"/>
        <v>1</v>
      </c>
    </row>
    <row r="37" spans="1:29" s="113" customFormat="1" ht="16" x14ac:dyDescent="0.2">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669"/>
      <c r="Q37" s="1477" t="str">
        <f t="shared" si="11"/>
        <v>成新度</v>
      </c>
      <c r="R37" s="709" t="s">
        <v>21</v>
      </c>
      <c r="S37" s="710" t="e">
        <f t="shared" si="12"/>
        <v>#N/A</v>
      </c>
      <c r="T37" s="709" t="s">
        <v>21</v>
      </c>
      <c r="U37" s="710" t="e">
        <f t="shared" si="13"/>
        <v>#N/A</v>
      </c>
      <c r="V37" s="709" t="s">
        <v>21</v>
      </c>
      <c r="W37" s="710" t="e">
        <f t="shared" si="14"/>
        <v>#N/A</v>
      </c>
      <c r="X37" s="711"/>
      <c r="Y37" s="3671"/>
      <c r="Z37" s="55" t="str">
        <f t="shared" si="18"/>
        <v>成新度</v>
      </c>
      <c r="AA37" s="712" t="e">
        <f t="shared" si="15"/>
        <v>#N/A</v>
      </c>
      <c r="AB37" s="712" t="e">
        <f t="shared" si="16"/>
        <v>#N/A</v>
      </c>
      <c r="AC37" s="712" t="e">
        <f t="shared" si="17"/>
        <v>#N/A</v>
      </c>
    </row>
    <row r="38" spans="1:29" ht="16" x14ac:dyDescent="0.2">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669" t="s">
        <v>2145</v>
      </c>
      <c r="Q38" s="1486" t="str">
        <f t="shared" si="11"/>
        <v>物业管理</v>
      </c>
      <c r="R38" s="713" t="s">
        <v>21</v>
      </c>
      <c r="S38" s="714">
        <f t="shared" si="12"/>
        <v>100</v>
      </c>
      <c r="T38" s="713" t="s">
        <v>21</v>
      </c>
      <c r="U38" s="714">
        <f t="shared" si="13"/>
        <v>100</v>
      </c>
      <c r="V38" s="713" t="s">
        <v>21</v>
      </c>
      <c r="W38" s="714">
        <f t="shared" si="14"/>
        <v>100</v>
      </c>
      <c r="X38" s="1489"/>
      <c r="Y38" s="3671" t="s">
        <v>2145</v>
      </c>
      <c r="Z38" s="1490" t="str">
        <f t="shared" si="18"/>
        <v>物业管理</v>
      </c>
      <c r="AA38" s="1487">
        <f t="shared" si="15"/>
        <v>1</v>
      </c>
      <c r="AB38" s="1487">
        <f t="shared" si="16"/>
        <v>1</v>
      </c>
      <c r="AC38" s="1487">
        <f t="shared" si="17"/>
        <v>1</v>
      </c>
    </row>
    <row r="39" spans="1:29" ht="16" x14ac:dyDescent="0.2">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669"/>
      <c r="Q39" s="1486" t="str">
        <f t="shared" si="11"/>
        <v>市政基础设施</v>
      </c>
      <c r="R39" s="713" t="s">
        <v>21</v>
      </c>
      <c r="S39" s="714">
        <f t="shared" si="12"/>
        <v>100</v>
      </c>
      <c r="T39" s="713" t="s">
        <v>21</v>
      </c>
      <c r="U39" s="714">
        <f t="shared" si="13"/>
        <v>100</v>
      </c>
      <c r="V39" s="713" t="s">
        <v>21</v>
      </c>
      <c r="W39" s="714">
        <f t="shared" si="14"/>
        <v>100</v>
      </c>
      <c r="X39" s="1489"/>
      <c r="Y39" s="3671"/>
      <c r="Z39" s="1490" t="str">
        <f t="shared" si="18"/>
        <v>市政基础设施</v>
      </c>
      <c r="AA39" s="1487">
        <f t="shared" si="15"/>
        <v>1</v>
      </c>
      <c r="AB39" s="1487">
        <f t="shared" si="16"/>
        <v>1</v>
      </c>
      <c r="AC39" s="1487">
        <f t="shared" si="17"/>
        <v>1</v>
      </c>
    </row>
    <row r="40" spans="1:29" ht="16" x14ac:dyDescent="0.2">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669"/>
      <c r="Q40" s="1486" t="str">
        <f t="shared" si="11"/>
        <v>房型</v>
      </c>
      <c r="R40" s="713" t="s">
        <v>21</v>
      </c>
      <c r="S40" s="714">
        <f t="shared" si="12"/>
        <v>100</v>
      </c>
      <c r="T40" s="713" t="s">
        <v>21</v>
      </c>
      <c r="U40" s="714">
        <f t="shared" si="13"/>
        <v>100</v>
      </c>
      <c r="V40" s="713" t="s">
        <v>21</v>
      </c>
      <c r="W40" s="714">
        <f t="shared" si="14"/>
        <v>100</v>
      </c>
      <c r="X40" s="1489"/>
      <c r="Y40" s="3671"/>
      <c r="Z40" s="1490" t="str">
        <f t="shared" si="18"/>
        <v>房型</v>
      </c>
      <c r="AA40" s="1487">
        <f t="shared" si="15"/>
        <v>1</v>
      </c>
      <c r="AB40" s="1487">
        <f t="shared" si="16"/>
        <v>1</v>
      </c>
      <c r="AC40" s="1487">
        <f t="shared" si="17"/>
        <v>1</v>
      </c>
    </row>
    <row r="41" spans="1:29" s="430" customFormat="1" ht="28" x14ac:dyDescent="0.2">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669"/>
      <c r="Q41" s="715" t="str">
        <f t="shared" si="11"/>
        <v>单套/主力户型建筑面积</v>
      </c>
      <c r="R41" s="716" t="s">
        <v>21</v>
      </c>
      <c r="S41" s="717">
        <f t="shared" si="12"/>
        <v>100</v>
      </c>
      <c r="T41" s="716" t="s">
        <v>21</v>
      </c>
      <c r="U41" s="717">
        <f t="shared" si="13"/>
        <v>100</v>
      </c>
      <c r="V41" s="716" t="s">
        <v>21</v>
      </c>
      <c r="W41" s="717">
        <f t="shared" si="14"/>
        <v>100</v>
      </c>
      <c r="X41" s="718"/>
      <c r="Y41" s="3671"/>
      <c r="Z41" s="719" t="str">
        <f t="shared" si="18"/>
        <v>单套/主力户型建筑面积</v>
      </c>
      <c r="AA41" s="1487">
        <f t="shared" si="15"/>
        <v>1</v>
      </c>
      <c r="AB41" s="1487">
        <f t="shared" si="16"/>
        <v>1</v>
      </c>
      <c r="AC41" s="1487">
        <f t="shared" si="17"/>
        <v>1</v>
      </c>
    </row>
    <row r="42" spans="1:29" ht="16" x14ac:dyDescent="0.2">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669"/>
      <c r="Q42" s="1486" t="str">
        <f t="shared" si="11"/>
        <v>内部装修</v>
      </c>
      <c r="R42" s="713" t="s">
        <v>21</v>
      </c>
      <c r="S42" s="714">
        <f t="shared" si="12"/>
        <v>100</v>
      </c>
      <c r="T42" s="713" t="s">
        <v>21</v>
      </c>
      <c r="U42" s="714">
        <f t="shared" si="13"/>
        <v>100</v>
      </c>
      <c r="V42" s="713" t="s">
        <v>21</v>
      </c>
      <c r="W42" s="714">
        <f t="shared" si="14"/>
        <v>100</v>
      </c>
      <c r="X42" s="1489"/>
      <c r="Y42" s="3671"/>
      <c r="Z42" s="1490" t="str">
        <f t="shared" si="18"/>
        <v>内部装修</v>
      </c>
      <c r="AA42" s="1487">
        <f t="shared" si="15"/>
        <v>1</v>
      </c>
      <c r="AB42" s="1487">
        <f t="shared" si="16"/>
        <v>1</v>
      </c>
      <c r="AC42" s="1487">
        <f t="shared" si="17"/>
        <v>1</v>
      </c>
    </row>
    <row r="43" spans="1:29" ht="16" x14ac:dyDescent="0.2">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669"/>
      <c r="Q43" s="1486" t="str">
        <f t="shared" si="11"/>
        <v>内部装修维护情况</v>
      </c>
      <c r="R43" s="713" t="s">
        <v>21</v>
      </c>
      <c r="S43" s="714">
        <f t="shared" si="12"/>
        <v>100</v>
      </c>
      <c r="T43" s="713" t="s">
        <v>21</v>
      </c>
      <c r="U43" s="714">
        <f t="shared" si="13"/>
        <v>100</v>
      </c>
      <c r="V43" s="713" t="s">
        <v>21</v>
      </c>
      <c r="W43" s="714">
        <f t="shared" si="14"/>
        <v>100</v>
      </c>
      <c r="X43" s="1489"/>
      <c r="Y43" s="3671"/>
      <c r="Z43" s="1490" t="str">
        <f t="shared" si="18"/>
        <v>内部装修维护情况</v>
      </c>
      <c r="AA43" s="1487">
        <f t="shared" si="15"/>
        <v>1</v>
      </c>
      <c r="AB43" s="1487">
        <f t="shared" si="16"/>
        <v>1</v>
      </c>
      <c r="AC43" s="1487">
        <f t="shared" si="17"/>
        <v>1</v>
      </c>
    </row>
    <row r="44" spans="1:29" s="113" customFormat="1" ht="16" x14ac:dyDescent="0.2">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669"/>
      <c r="Q44" s="1477">
        <f t="shared" si="11"/>
        <v>111</v>
      </c>
      <c r="R44" s="709" t="s">
        <v>21</v>
      </c>
      <c r="S44" s="710">
        <f t="shared" si="12"/>
        <v>100</v>
      </c>
      <c r="T44" s="709" t="s">
        <v>21</v>
      </c>
      <c r="U44" s="710">
        <f t="shared" si="13"/>
        <v>100</v>
      </c>
      <c r="V44" s="709" t="s">
        <v>21</v>
      </c>
      <c r="W44" s="710">
        <f t="shared" si="14"/>
        <v>100</v>
      </c>
      <c r="X44" s="711"/>
      <c r="Y44" s="3671"/>
      <c r="Z44" s="55">
        <f t="shared" si="18"/>
        <v>111</v>
      </c>
      <c r="AA44" s="712">
        <f t="shared" si="15"/>
        <v>1</v>
      </c>
      <c r="AB44" s="712">
        <f t="shared" si="16"/>
        <v>1</v>
      </c>
      <c r="AC44" s="712">
        <f t="shared" si="17"/>
        <v>1</v>
      </c>
    </row>
    <row r="45" spans="1:29" ht="16" x14ac:dyDescent="0.2">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669"/>
      <c r="Q45" s="1486">
        <f t="shared" si="11"/>
        <v>111</v>
      </c>
      <c r="R45" s="713" t="s">
        <v>21</v>
      </c>
      <c r="S45" s="714">
        <f t="shared" si="12"/>
        <v>100</v>
      </c>
      <c r="T45" s="713" t="s">
        <v>21</v>
      </c>
      <c r="U45" s="714">
        <f t="shared" si="13"/>
        <v>100</v>
      </c>
      <c r="V45" s="713" t="s">
        <v>21</v>
      </c>
      <c r="W45" s="714">
        <f t="shared" si="14"/>
        <v>100</v>
      </c>
      <c r="X45" s="1489"/>
      <c r="Y45" s="3671"/>
      <c r="Z45" s="1490">
        <f t="shared" si="18"/>
        <v>111</v>
      </c>
      <c r="AA45" s="1487">
        <f t="shared" si="15"/>
        <v>1</v>
      </c>
      <c r="AB45" s="1487">
        <f t="shared" si="16"/>
        <v>1</v>
      </c>
      <c r="AC45" s="1487">
        <f t="shared" si="17"/>
        <v>1</v>
      </c>
    </row>
    <row r="46" spans="1:29" ht="17" thickBot="1" x14ac:dyDescent="0.25">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670"/>
      <c r="Q46" s="1486">
        <f t="shared" si="11"/>
        <v>111</v>
      </c>
      <c r="R46" s="713" t="s">
        <v>20</v>
      </c>
      <c r="S46" s="714">
        <f t="shared" si="12"/>
        <v>100</v>
      </c>
      <c r="T46" s="713" t="s">
        <v>20</v>
      </c>
      <c r="U46" s="714">
        <f t="shared" si="13"/>
        <v>100</v>
      </c>
      <c r="V46" s="713" t="s">
        <v>20</v>
      </c>
      <c r="W46" s="714">
        <f t="shared" si="14"/>
        <v>100</v>
      </c>
      <c r="X46" s="1489"/>
      <c r="Y46" s="3672"/>
      <c r="Z46" s="1490">
        <f t="shared" si="18"/>
        <v>111</v>
      </c>
      <c r="AA46" s="1487">
        <f t="shared" si="15"/>
        <v>1</v>
      </c>
      <c r="AB46" s="1487">
        <f t="shared" si="16"/>
        <v>1</v>
      </c>
      <c r="AC46" s="1487">
        <f t="shared" si="17"/>
        <v>1</v>
      </c>
    </row>
    <row r="47" spans="1:29" x14ac:dyDescent="0.2">
      <c r="A47" s="438" t="s">
        <v>2157</v>
      </c>
      <c r="B47" s="439"/>
      <c r="C47" s="1268" t="s">
        <v>19</v>
      </c>
      <c r="D47" s="1269"/>
      <c r="E47" s="1270"/>
      <c r="F47" s="1271"/>
      <c r="G47" s="1272"/>
      <c r="H47" s="1273"/>
      <c r="I47" s="1270"/>
      <c r="J47" s="1273"/>
      <c r="K47" s="2050"/>
      <c r="L47" s="2902"/>
      <c r="M47" s="2903"/>
      <c r="N47" s="2894"/>
      <c r="O47" s="2903"/>
      <c r="P47" s="3664" t="str">
        <f>A47</f>
        <v>成交单价（元/平方米）</v>
      </c>
      <c r="Q47" s="3664"/>
      <c r="R47" s="3665">
        <f>E47</f>
        <v>0</v>
      </c>
      <c r="S47" s="3665"/>
      <c r="T47" s="3665">
        <f>G47</f>
        <v>0</v>
      </c>
      <c r="U47" s="3665"/>
      <c r="V47" s="3665">
        <f>I47</f>
        <v>0</v>
      </c>
      <c r="W47" s="3665"/>
      <c r="X47" s="698"/>
      <c r="Y47" s="720"/>
      <c r="Z47" s="698"/>
      <c r="AA47" s="698"/>
      <c r="AB47" s="698"/>
      <c r="AC47" s="698"/>
    </row>
    <row r="48" spans="1:29" ht="15" thickBot="1" x14ac:dyDescent="0.25">
      <c r="A48" s="445" t="s">
        <v>2158</v>
      </c>
      <c r="B48" s="446"/>
      <c r="C48" s="1274" t="e">
        <f>R49</f>
        <v>#DIV/0!</v>
      </c>
      <c r="D48" s="2488" t="s">
        <v>2639</v>
      </c>
      <c r="E48" s="1275" t="e">
        <f>R48</f>
        <v>#DIV/0!</v>
      </c>
      <c r="F48" s="2489"/>
      <c r="G48" s="1274" t="e">
        <f>T48</f>
        <v>#DIV/0!</v>
      </c>
      <c r="H48" s="2489"/>
      <c r="I48" s="1275" t="e">
        <f>V48</f>
        <v>#DIV/0!</v>
      </c>
      <c r="J48" s="2489"/>
      <c r="K48" s="2490">
        <f>F48+H48+J48</f>
        <v>0</v>
      </c>
      <c r="L48" s="2902"/>
      <c r="M48" s="2903"/>
      <c r="N48" s="2903"/>
      <c r="O48" s="2903"/>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8"/>
      <c r="Y48" s="698"/>
      <c r="Z48" s="698"/>
      <c r="AA48" s="698"/>
      <c r="AB48" s="698"/>
      <c r="AC48" s="698"/>
    </row>
    <row r="49" spans="1:29" ht="15" thickBot="1" x14ac:dyDescent="0.25">
      <c r="A49" s="449" t="s">
        <v>2159</v>
      </c>
      <c r="B49" s="450"/>
      <c r="C49" s="1276" t="e">
        <f>R49</f>
        <v>#DIV/0!</v>
      </c>
      <c r="D49" s="1277"/>
      <c r="E49" s="1277"/>
      <c r="F49" s="1277"/>
      <c r="G49" s="1277"/>
      <c r="H49" s="1277"/>
      <c r="I49" s="1277"/>
      <c r="J49" s="1277"/>
      <c r="K49" s="2051"/>
      <c r="L49" s="2902"/>
      <c r="M49" s="2903"/>
      <c r="N49" s="2903"/>
      <c r="O49" s="2903"/>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8"/>
      <c r="Y49" s="698"/>
      <c r="Z49" s="698"/>
      <c r="AA49" s="698"/>
      <c r="AB49" s="698"/>
      <c r="AC49" s="698"/>
    </row>
    <row r="50" spans="1:29" x14ac:dyDescent="0.2">
      <c r="A50" s="2903"/>
      <c r="B50" s="2903"/>
      <c r="C50" s="2903"/>
      <c r="D50" s="2903"/>
      <c r="E50" s="2903"/>
      <c r="F50" s="2903"/>
      <c r="G50" s="2907"/>
      <c r="H50" s="2903"/>
      <c r="I50" s="2903"/>
      <c r="J50" s="2903"/>
      <c r="K50" s="2908"/>
      <c r="L50" s="2904"/>
      <c r="M50" s="2903"/>
      <c r="N50" s="2903"/>
      <c r="O50" s="2903"/>
    </row>
    <row r="51" spans="1:29" x14ac:dyDescent="0.2">
      <c r="A51" s="2903"/>
      <c r="B51" s="2903"/>
      <c r="C51" s="2903"/>
      <c r="D51" s="2903"/>
      <c r="E51" s="2903"/>
      <c r="F51" s="2903"/>
      <c r="G51" s="2903"/>
      <c r="H51" s="2903"/>
      <c r="I51" s="2903"/>
      <c r="J51" s="2903"/>
      <c r="K51" s="2908"/>
      <c r="L51" s="2904"/>
      <c r="M51" s="2903"/>
      <c r="N51" s="2903"/>
      <c r="O51" s="2903"/>
    </row>
    <row r="52" spans="1:29" ht="13.5" customHeight="1" x14ac:dyDescent="0.2">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x14ac:dyDescent="0.2">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x14ac:dyDescent="0.2">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x14ac:dyDescent="0.2">
      <c r="A55" s="2906"/>
      <c r="B55" s="2909"/>
      <c r="C55" s="2910"/>
      <c r="D55" s="2906"/>
      <c r="E55" s="2906"/>
      <c r="F55" s="2906"/>
      <c r="G55" s="2906"/>
      <c r="H55" s="2906"/>
      <c r="I55" s="2906"/>
      <c r="J55" s="2906"/>
      <c r="K55" s="2911"/>
      <c r="L55" s="2905"/>
      <c r="M55" s="2906"/>
      <c r="N55" s="2906"/>
      <c r="O55" s="2906"/>
      <c r="P55" s="2053"/>
    </row>
    <row r="56" spans="1:29" x14ac:dyDescent="0.2">
      <c r="A56" s="2903"/>
      <c r="B56" s="2909"/>
      <c r="C56" s="2910"/>
      <c r="D56" s="2903"/>
      <c r="E56" s="2903"/>
      <c r="F56" s="2903"/>
      <c r="G56" s="2903"/>
      <c r="H56" s="2903"/>
      <c r="I56" s="2903"/>
      <c r="J56" s="2903"/>
      <c r="K56" s="2908"/>
      <c r="L56" s="2904"/>
      <c r="M56" s="2903"/>
      <c r="N56" s="2903"/>
      <c r="O56" s="2903"/>
    </row>
    <row r="57" spans="1:29" ht="21" thickBot="1" x14ac:dyDescent="0.25">
      <c r="A57" s="702" t="s">
        <v>2163</v>
      </c>
      <c r="B57" s="698"/>
      <c r="C57" s="703"/>
      <c r="D57" s="703"/>
      <c r="E57" s="703"/>
      <c r="F57" s="704"/>
      <c r="G57" s="704"/>
      <c r="H57" s="703"/>
      <c r="I57" s="703"/>
      <c r="J57" s="703"/>
      <c r="K57" s="1052"/>
      <c r="L57" s="1053"/>
      <c r="M57" s="1051"/>
      <c r="N57" s="1051"/>
      <c r="O57" s="1051"/>
      <c r="P57" s="2054"/>
      <c r="Q57" s="461"/>
    </row>
    <row r="58" spans="1:29" s="465" customFormat="1" x14ac:dyDescent="0.2">
      <c r="A58" s="462" t="s">
        <v>2164</v>
      </c>
      <c r="B58" s="463"/>
      <c r="C58" s="1300" t="str">
        <f>YEAR(C7)&amp;"-"&amp;MONTH(C7)</f>
        <v>2022-11</v>
      </c>
      <c r="D58" s="1299">
        <f>EDATE(C58,-1)</f>
        <v>44835</v>
      </c>
      <c r="E58" s="1299">
        <f>EDATE(D58,-1)</f>
        <v>44805</v>
      </c>
      <c r="F58" s="1299">
        <f t="shared" ref="F58:O58" si="19">EDATE(E58,-1)</f>
        <v>44774</v>
      </c>
      <c r="G58" s="1299">
        <f t="shared" si="19"/>
        <v>44743</v>
      </c>
      <c r="H58" s="1299">
        <f t="shared" si="19"/>
        <v>44713</v>
      </c>
      <c r="I58" s="1299">
        <f t="shared" si="19"/>
        <v>44682</v>
      </c>
      <c r="J58" s="1299">
        <f t="shared" si="19"/>
        <v>44652</v>
      </c>
      <c r="K58" s="1299">
        <f t="shared" si="19"/>
        <v>44621</v>
      </c>
      <c r="L58" s="1299">
        <f t="shared" si="19"/>
        <v>44593</v>
      </c>
      <c r="M58" s="1299">
        <f t="shared" si="19"/>
        <v>44562</v>
      </c>
      <c r="N58" s="1299">
        <f t="shared" si="19"/>
        <v>44531</v>
      </c>
      <c r="O58" s="1299">
        <f t="shared" si="19"/>
        <v>44501</v>
      </c>
      <c r="P58" s="1295"/>
    </row>
    <row r="59" spans="1:29" s="113" customFormat="1" x14ac:dyDescent="0.2">
      <c r="A59" s="466"/>
      <c r="B59" s="2055"/>
      <c r="C59" s="1297">
        <v>100</v>
      </c>
      <c r="D59" s="468"/>
      <c r="E59" s="469"/>
      <c r="F59" s="469"/>
      <c r="G59" s="469"/>
      <c r="H59" s="469"/>
      <c r="I59" s="469"/>
      <c r="J59" s="469"/>
      <c r="K59" s="469"/>
      <c r="L59" s="469"/>
      <c r="M59" s="470"/>
      <c r="N59" s="469"/>
      <c r="O59" s="470"/>
      <c r="P59" s="2056"/>
    </row>
    <row r="60" spans="1:29" s="113" customFormat="1" ht="15" thickBot="1" x14ac:dyDescent="0.25">
      <c r="A60" s="472" t="s">
        <v>2165</v>
      </c>
      <c r="B60" s="473"/>
      <c r="C60" s="474"/>
      <c r="D60" s="475"/>
      <c r="E60" s="475"/>
      <c r="F60" s="475"/>
      <c r="G60" s="475"/>
      <c r="H60" s="475"/>
      <c r="I60" s="475"/>
      <c r="J60" s="475"/>
      <c r="K60" s="475"/>
      <c r="L60" s="475"/>
      <c r="M60" s="476"/>
      <c r="N60" s="475"/>
      <c r="O60" s="476"/>
      <c r="P60" s="2056"/>
      <c r="Q60" s="461"/>
    </row>
    <row r="61" spans="1:29" s="113" customFormat="1" x14ac:dyDescent="0.2">
      <c r="A61" s="478" t="s">
        <v>2166</v>
      </c>
      <c r="B61" s="467"/>
      <c r="C61" s="479" t="s">
        <v>2167</v>
      </c>
      <c r="D61" s="480"/>
      <c r="E61" s="480"/>
      <c r="F61" s="480"/>
      <c r="G61" s="480"/>
      <c r="H61" s="480"/>
      <c r="I61" s="480"/>
      <c r="J61" s="480"/>
      <c r="K61" s="480"/>
      <c r="L61" s="481"/>
      <c r="M61" s="482"/>
      <c r="N61" s="1043"/>
      <c r="O61" s="1043"/>
      <c r="P61" s="2057"/>
      <c r="Q61" s="461"/>
    </row>
    <row r="62" spans="1:29" s="113" customFormat="1" ht="15" thickBot="1" x14ac:dyDescent="0.25">
      <c r="A62" s="478"/>
      <c r="B62" s="467"/>
      <c r="C62" s="468">
        <v>100</v>
      </c>
      <c r="D62" s="469"/>
      <c r="E62" s="469"/>
      <c r="F62" s="469"/>
      <c r="G62" s="469"/>
      <c r="H62" s="469"/>
      <c r="I62" s="469"/>
      <c r="J62" s="469"/>
      <c r="K62" s="469"/>
      <c r="L62" s="469"/>
      <c r="M62" s="471"/>
      <c r="N62" s="1043"/>
      <c r="O62" s="1043"/>
      <c r="P62" s="2056"/>
      <c r="Q62" s="461"/>
    </row>
    <row r="63" spans="1:29" x14ac:dyDescent="0.2">
      <c r="A63" s="484" t="s">
        <v>2168</v>
      </c>
      <c r="B63" s="485" t="s">
        <v>2134</v>
      </c>
      <c r="C63" s="486">
        <f>C9</f>
        <v>0</v>
      </c>
      <c r="D63" s="487"/>
      <c r="E63" s="487"/>
      <c r="F63" s="487"/>
      <c r="G63" s="487"/>
      <c r="H63" s="487"/>
      <c r="I63" s="487"/>
      <c r="J63" s="487"/>
      <c r="K63" s="488"/>
      <c r="L63" s="489"/>
      <c r="M63" s="490"/>
      <c r="N63" s="1044"/>
      <c r="O63" s="1044"/>
      <c r="P63" s="2058"/>
      <c r="Q63" s="461"/>
    </row>
    <row r="64" spans="1:29" ht="15" thickBot="1" x14ac:dyDescent="0.25">
      <c r="A64" s="491"/>
      <c r="B64" s="492"/>
      <c r="C64" s="493">
        <v>100</v>
      </c>
      <c r="D64" s="493"/>
      <c r="E64" s="493"/>
      <c r="F64" s="493"/>
      <c r="G64" s="493"/>
      <c r="H64" s="493"/>
      <c r="I64" s="493"/>
      <c r="J64" s="493"/>
      <c r="K64" s="493"/>
      <c r="L64" s="493"/>
      <c r="M64" s="494"/>
      <c r="N64" s="1045"/>
      <c r="O64" s="1045"/>
      <c r="P64" s="2058"/>
      <c r="Q64" s="461"/>
    </row>
    <row r="65" spans="1:17" ht="29" thickTop="1" x14ac:dyDescent="0.2">
      <c r="A65" s="491"/>
      <c r="B65" s="495" t="s">
        <v>2137</v>
      </c>
      <c r="C65" s="496" t="s">
        <v>2169</v>
      </c>
      <c r="D65" s="496" t="s">
        <v>2170</v>
      </c>
      <c r="E65" s="496" t="s">
        <v>2171</v>
      </c>
      <c r="F65" s="496" t="s">
        <v>2172</v>
      </c>
      <c r="G65" s="496" t="s">
        <v>2173</v>
      </c>
      <c r="H65" s="496" t="s">
        <v>2174</v>
      </c>
      <c r="I65" s="496" t="s">
        <v>2175</v>
      </c>
      <c r="J65" s="496"/>
      <c r="K65" s="497"/>
      <c r="L65" s="498"/>
      <c r="M65" s="499"/>
      <c r="N65" s="1044"/>
      <c r="O65" s="1044"/>
      <c r="P65" s="2058"/>
      <c r="Q65" s="461"/>
    </row>
    <row r="66" spans="1:17" ht="15" thickBot="1" x14ac:dyDescent="0.25">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5" thickTop="1" x14ac:dyDescent="0.2">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x14ac:dyDescent="0.2">
      <c r="A68" s="491"/>
      <c r="B68" s="505"/>
      <c r="C68" s="506"/>
      <c r="D68" s="506"/>
      <c r="E68" s="506"/>
      <c r="F68" s="506"/>
      <c r="G68" s="506"/>
      <c r="H68" s="506"/>
      <c r="I68" s="506"/>
      <c r="J68" s="506"/>
      <c r="K68" s="507"/>
      <c r="L68" s="508"/>
      <c r="M68" s="509"/>
      <c r="N68" s="1044"/>
      <c r="O68" s="1044"/>
      <c r="P68" s="2058"/>
      <c r="Q68" s="461"/>
    </row>
    <row r="69" spans="1:17" ht="15" thickBot="1" x14ac:dyDescent="0.25">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5" thickTop="1" x14ac:dyDescent="0.2">
      <c r="A70" s="510"/>
      <c r="B70" s="495">
        <f>B12</f>
        <v>111</v>
      </c>
      <c r="C70" s="511"/>
      <c r="D70" s="511"/>
      <c r="E70" s="511"/>
      <c r="F70" s="511"/>
      <c r="G70" s="511"/>
      <c r="H70" s="512"/>
      <c r="I70" s="512"/>
      <c r="J70" s="512"/>
      <c r="K70" s="512"/>
      <c r="L70" s="513"/>
      <c r="M70" s="514"/>
      <c r="N70" s="1046"/>
      <c r="O70" s="1046"/>
      <c r="P70" s="2059"/>
      <c r="Q70" s="516"/>
    </row>
    <row r="71" spans="1:17" s="430" customFormat="1" ht="15" thickBot="1" x14ac:dyDescent="0.25">
      <c r="A71" s="510"/>
      <c r="B71" s="500"/>
      <c r="C71" s="517"/>
      <c r="D71" s="493"/>
      <c r="E71" s="493"/>
      <c r="F71" s="493"/>
      <c r="G71" s="493"/>
      <c r="H71" s="493"/>
      <c r="I71" s="493"/>
      <c r="J71" s="493"/>
      <c r="K71" s="493"/>
      <c r="L71" s="493"/>
      <c r="M71" s="494"/>
      <c r="N71" s="1045"/>
      <c r="O71" s="1045"/>
      <c r="P71" s="2059"/>
      <c r="Q71" s="516"/>
    </row>
    <row r="72" spans="1:17" s="430" customFormat="1" ht="15" thickTop="1" x14ac:dyDescent="0.2">
      <c r="A72" s="510"/>
      <c r="B72" s="495">
        <f>B13</f>
        <v>111</v>
      </c>
      <c r="C72" s="511"/>
      <c r="D72" s="511"/>
      <c r="E72" s="511"/>
      <c r="F72" s="511"/>
      <c r="G72" s="511"/>
      <c r="H72" s="512"/>
      <c r="I72" s="512"/>
      <c r="J72" s="512"/>
      <c r="K72" s="512"/>
      <c r="L72" s="513"/>
      <c r="M72" s="514"/>
      <c r="N72" s="1046"/>
      <c r="O72" s="1046"/>
      <c r="P72" s="2060"/>
      <c r="Q72" s="518"/>
    </row>
    <row r="73" spans="1:17" s="430" customFormat="1" ht="15" thickBot="1" x14ac:dyDescent="0.25">
      <c r="A73" s="510"/>
      <c r="B73" s="500"/>
      <c r="C73" s="517"/>
      <c r="D73" s="517"/>
      <c r="E73" s="517"/>
      <c r="F73" s="517"/>
      <c r="G73" s="517"/>
      <c r="H73" s="519"/>
      <c r="I73" s="519"/>
      <c r="J73" s="519"/>
      <c r="K73" s="519"/>
      <c r="L73" s="519"/>
      <c r="M73" s="520"/>
      <c r="N73" s="1046"/>
      <c r="O73" s="1046"/>
      <c r="P73" s="2059"/>
      <c r="Q73" s="516"/>
    </row>
    <row r="74" spans="1:17" s="430" customFormat="1" ht="15" thickTop="1" x14ac:dyDescent="0.2">
      <c r="A74" s="510"/>
      <c r="B74" s="503">
        <f>B14</f>
        <v>111</v>
      </c>
      <c r="C74" s="511"/>
      <c r="D74" s="511"/>
      <c r="E74" s="511"/>
      <c r="F74" s="511"/>
      <c r="G74" s="480"/>
      <c r="H74" s="521"/>
      <c r="I74" s="521"/>
      <c r="J74" s="521"/>
      <c r="K74" s="521"/>
      <c r="L74" s="522"/>
      <c r="M74" s="523"/>
      <c r="N74" s="1046"/>
      <c r="O74" s="1046"/>
      <c r="P74" s="2061"/>
      <c r="Q74" s="516"/>
    </row>
    <row r="75" spans="1:17" s="430" customFormat="1" ht="15" thickBot="1" x14ac:dyDescent="0.25">
      <c r="A75" s="525"/>
      <c r="B75" s="526"/>
      <c r="C75" s="527"/>
      <c r="D75" s="527"/>
      <c r="E75" s="527"/>
      <c r="F75" s="527"/>
      <c r="G75" s="527"/>
      <c r="H75" s="528"/>
      <c r="I75" s="528"/>
      <c r="J75" s="528"/>
      <c r="K75" s="528"/>
      <c r="L75" s="528"/>
      <c r="M75" s="529"/>
      <c r="N75" s="1046"/>
      <c r="O75" s="1046"/>
      <c r="P75" s="2059"/>
      <c r="Q75" s="516"/>
    </row>
    <row r="76" spans="1:17" x14ac:dyDescent="0.2">
      <c r="A76" s="484" t="s">
        <v>2139</v>
      </c>
      <c r="B76" s="485" t="s">
        <v>2176</v>
      </c>
      <c r="C76" s="530" t="s">
        <v>2177</v>
      </c>
      <c r="D76" s="530" t="s">
        <v>2178</v>
      </c>
      <c r="E76" s="530" t="s">
        <v>2179</v>
      </c>
      <c r="F76" s="530" t="s">
        <v>2180</v>
      </c>
      <c r="G76" s="530" t="s">
        <v>2181</v>
      </c>
      <c r="H76" s="486"/>
      <c r="I76" s="486"/>
      <c r="J76" s="486"/>
      <c r="K76" s="531"/>
      <c r="L76" s="532"/>
      <c r="M76" s="533"/>
      <c r="N76" s="1044"/>
      <c r="O76" s="1044"/>
      <c r="P76" s="2062"/>
      <c r="Q76" s="461"/>
    </row>
    <row r="77" spans="1:17" ht="15" thickBot="1" x14ac:dyDescent="0.25">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5" thickTop="1" x14ac:dyDescent="0.2">
      <c r="A78" s="491"/>
      <c r="B78" s="495" t="s">
        <v>2182</v>
      </c>
      <c r="C78" s="535" t="s">
        <v>2177</v>
      </c>
      <c r="D78" s="535" t="s">
        <v>2178</v>
      </c>
      <c r="E78" s="535" t="s">
        <v>2179</v>
      </c>
      <c r="F78" s="535" t="s">
        <v>2180</v>
      </c>
      <c r="G78" s="535" t="s">
        <v>2181</v>
      </c>
      <c r="H78" s="496"/>
      <c r="I78" s="496"/>
      <c r="J78" s="496"/>
      <c r="K78" s="497"/>
      <c r="L78" s="498"/>
      <c r="M78" s="499"/>
      <c r="N78" s="1044"/>
      <c r="O78" s="1044"/>
      <c r="P78" s="2058"/>
      <c r="Q78" s="461"/>
    </row>
    <row r="79" spans="1:17" ht="15" thickBot="1" x14ac:dyDescent="0.25">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5" thickTop="1" x14ac:dyDescent="0.2">
      <c r="A80" s="491"/>
      <c r="B80" s="495" t="s">
        <v>2183</v>
      </c>
      <c r="C80" s="535" t="s">
        <v>2177</v>
      </c>
      <c r="D80" s="535" t="s">
        <v>2178</v>
      </c>
      <c r="E80" s="535" t="s">
        <v>2179</v>
      </c>
      <c r="F80" s="535" t="s">
        <v>2180</v>
      </c>
      <c r="G80" s="535" t="s">
        <v>2181</v>
      </c>
      <c r="H80" s="496"/>
      <c r="I80" s="496"/>
      <c r="J80" s="496"/>
      <c r="K80" s="497"/>
      <c r="L80" s="498"/>
      <c r="M80" s="499"/>
      <c r="N80" s="1044"/>
      <c r="O80" s="1044"/>
      <c r="P80" s="2058"/>
      <c r="Q80" s="461"/>
    </row>
    <row r="81" spans="1:17" ht="15" thickBot="1" x14ac:dyDescent="0.25">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5" thickTop="1" x14ac:dyDescent="0.2">
      <c r="A82" s="491"/>
      <c r="B82" s="503" t="s">
        <v>1705</v>
      </c>
      <c r="C82" s="496" t="s">
        <v>2184</v>
      </c>
      <c r="D82" s="496" t="s">
        <v>2185</v>
      </c>
      <c r="E82" s="496" t="s">
        <v>2186</v>
      </c>
      <c r="F82" s="496" t="s">
        <v>2187</v>
      </c>
      <c r="G82" s="496" t="s">
        <v>2188</v>
      </c>
      <c r="H82" s="496"/>
      <c r="I82" s="496"/>
      <c r="J82" s="496"/>
      <c r="K82" s="496"/>
      <c r="L82" s="496"/>
      <c r="M82" s="1243"/>
      <c r="N82" s="1045"/>
      <c r="O82" s="1045"/>
      <c r="P82" s="2058"/>
      <c r="Q82" s="461"/>
    </row>
    <row r="83" spans="1:17" ht="15" thickBot="1" x14ac:dyDescent="0.25">
      <c r="A83" s="491"/>
      <c r="B83" s="503"/>
      <c r="C83" s="615">
        <v>100</v>
      </c>
      <c r="D83" s="615">
        <f>C83-$K21</f>
        <v>100</v>
      </c>
      <c r="E83" s="615">
        <f t="shared" ref="E83:G83" si="23">D83-$K21</f>
        <v>100</v>
      </c>
      <c r="F83" s="615">
        <f t="shared" si="23"/>
        <v>100</v>
      </c>
      <c r="G83" s="615">
        <f t="shared" si="23"/>
        <v>100</v>
      </c>
      <c r="H83" s="615"/>
      <c r="I83" s="615"/>
      <c r="J83" s="615"/>
      <c r="K83" s="615"/>
      <c r="L83" s="615"/>
      <c r="M83" s="409"/>
      <c r="N83" s="1045"/>
      <c r="O83" s="1045"/>
      <c r="P83" s="2058"/>
      <c r="Q83" s="461"/>
    </row>
    <row r="84" spans="1:17" ht="15" thickTop="1" x14ac:dyDescent="0.2">
      <c r="A84" s="491"/>
      <c r="B84" s="495" t="s">
        <v>2189</v>
      </c>
      <c r="C84" s="535" t="s">
        <v>2177</v>
      </c>
      <c r="D84" s="535" t="s">
        <v>2178</v>
      </c>
      <c r="E84" s="535" t="s">
        <v>2179</v>
      </c>
      <c r="F84" s="535" t="s">
        <v>2180</v>
      </c>
      <c r="G84" s="535" t="s">
        <v>2181</v>
      </c>
      <c r="H84" s="496"/>
      <c r="I84" s="496"/>
      <c r="J84" s="496"/>
      <c r="K84" s="497"/>
      <c r="L84" s="498"/>
      <c r="M84" s="499"/>
      <c r="N84" s="1044"/>
      <c r="O84" s="1044"/>
      <c r="P84" s="2058"/>
      <c r="Q84" s="461"/>
    </row>
    <row r="85" spans="1:17" ht="15" thickBot="1" x14ac:dyDescent="0.25">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5" thickTop="1" x14ac:dyDescent="0.2">
      <c r="A86" s="536"/>
      <c r="B86" s="495" t="s">
        <v>2190</v>
      </c>
      <c r="C86" s="511"/>
      <c r="D86" s="511"/>
      <c r="E86" s="511"/>
      <c r="F86" s="511"/>
      <c r="G86" s="511"/>
      <c r="H86" s="511"/>
      <c r="I86" s="511"/>
      <c r="J86" s="511"/>
      <c r="K86" s="511"/>
      <c r="L86" s="537"/>
      <c r="M86" s="538"/>
      <c r="N86" s="1043"/>
      <c r="O86" s="1043"/>
      <c r="P86" s="2058"/>
      <c r="Q86" s="461"/>
    </row>
    <row r="87" spans="1:17" s="113" customFormat="1" ht="15" thickBot="1" x14ac:dyDescent="0.25">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5" thickTop="1" x14ac:dyDescent="0.2">
      <c r="A88" s="536"/>
      <c r="B88" s="495" t="s">
        <v>2191</v>
      </c>
      <c r="C88" s="511"/>
      <c r="D88" s="511"/>
      <c r="E88" s="511"/>
      <c r="F88" s="2063"/>
      <c r="G88" s="511"/>
      <c r="H88" s="511"/>
      <c r="I88" s="511"/>
      <c r="J88" s="511"/>
      <c r="K88" s="511"/>
      <c r="L88" s="511"/>
      <c r="M88" s="538"/>
      <c r="N88" s="1043"/>
      <c r="O88" s="1043"/>
      <c r="P88" s="2058"/>
      <c r="Q88" s="461"/>
    </row>
    <row r="89" spans="1:17" s="113" customFormat="1" ht="15" thickBot="1" x14ac:dyDescent="0.25">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5" thickTop="1" x14ac:dyDescent="0.2">
      <c r="A90" s="510"/>
      <c r="B90" s="495">
        <f>B27</f>
        <v>111</v>
      </c>
      <c r="C90" s="511"/>
      <c r="D90" s="511"/>
      <c r="E90" s="511"/>
      <c r="F90" s="511"/>
      <c r="G90" s="511"/>
      <c r="H90" s="512"/>
      <c r="I90" s="512"/>
      <c r="J90" s="512"/>
      <c r="K90" s="512"/>
      <c r="L90" s="513"/>
      <c r="M90" s="514"/>
      <c r="N90" s="1046"/>
      <c r="O90" s="1046"/>
      <c r="P90" s="2059"/>
      <c r="Q90" s="516"/>
    </row>
    <row r="91" spans="1:17" s="430" customFormat="1" ht="15" thickBot="1" x14ac:dyDescent="0.25">
      <c r="A91" s="510"/>
      <c r="B91" s="500"/>
      <c r="C91" s="517"/>
      <c r="D91" s="517"/>
      <c r="E91" s="517"/>
      <c r="F91" s="517"/>
      <c r="G91" s="517"/>
      <c r="H91" s="519"/>
      <c r="I91" s="519"/>
      <c r="J91" s="519"/>
      <c r="K91" s="519"/>
      <c r="L91" s="519"/>
      <c r="M91" s="520"/>
      <c r="N91" s="1046"/>
      <c r="O91" s="1046"/>
      <c r="P91" s="2059"/>
      <c r="Q91" s="516"/>
    </row>
    <row r="92" spans="1:17" ht="15" thickTop="1" x14ac:dyDescent="0.2">
      <c r="A92" s="491"/>
      <c r="B92" s="495">
        <f>B28</f>
        <v>111</v>
      </c>
      <c r="C92" s="511"/>
      <c r="D92" s="511"/>
      <c r="E92" s="511"/>
      <c r="F92" s="511"/>
      <c r="G92" s="540"/>
      <c r="H92" s="540"/>
      <c r="I92" s="540"/>
      <c r="J92" s="540"/>
      <c r="K92" s="541"/>
      <c r="L92" s="542"/>
      <c r="M92" s="543"/>
      <c r="N92" s="1044"/>
      <c r="O92" s="1044"/>
      <c r="P92" s="2058"/>
      <c r="Q92" s="461"/>
    </row>
    <row r="93" spans="1:17" ht="15" thickBot="1" x14ac:dyDescent="0.25">
      <c r="A93" s="491"/>
      <c r="B93" s="500"/>
      <c r="C93" s="517"/>
      <c r="D93" s="493"/>
      <c r="E93" s="493"/>
      <c r="F93" s="493"/>
      <c r="G93" s="493"/>
      <c r="H93" s="493"/>
      <c r="I93" s="493"/>
      <c r="J93" s="493"/>
      <c r="K93" s="493"/>
      <c r="L93" s="493"/>
      <c r="M93" s="494"/>
      <c r="N93" s="1045"/>
      <c r="O93" s="1045"/>
      <c r="P93" s="2058"/>
      <c r="Q93" s="461"/>
    </row>
    <row r="94" spans="1:17" ht="15" thickTop="1" x14ac:dyDescent="0.2">
      <c r="A94" s="491"/>
      <c r="B94" s="495">
        <f>B29</f>
        <v>111</v>
      </c>
      <c r="C94" s="511"/>
      <c r="D94" s="511"/>
      <c r="E94" s="511"/>
      <c r="F94" s="511"/>
      <c r="G94" s="540"/>
      <c r="H94" s="540"/>
      <c r="I94" s="540"/>
      <c r="J94" s="540"/>
      <c r="K94" s="541"/>
      <c r="L94" s="542"/>
      <c r="M94" s="543"/>
      <c r="N94" s="1044"/>
      <c r="O94" s="1044"/>
      <c r="P94" s="2058"/>
      <c r="Q94" s="461"/>
    </row>
    <row r="95" spans="1:17" ht="15" thickBot="1" x14ac:dyDescent="0.25">
      <c r="A95" s="491"/>
      <c r="B95" s="500"/>
      <c r="C95" s="517"/>
      <c r="D95" s="517"/>
      <c r="E95" s="517"/>
      <c r="F95" s="517"/>
      <c r="G95" s="493"/>
      <c r="H95" s="493"/>
      <c r="I95" s="493"/>
      <c r="J95" s="493"/>
      <c r="K95" s="493"/>
      <c r="L95" s="493"/>
      <c r="M95" s="494"/>
      <c r="N95" s="1045"/>
      <c r="O95" s="1045"/>
      <c r="P95" s="2058"/>
      <c r="Q95" s="461"/>
    </row>
    <row r="96" spans="1:17" ht="15" thickTop="1" x14ac:dyDescent="0.2">
      <c r="A96" s="491"/>
      <c r="B96" s="495">
        <f>B30</f>
        <v>111</v>
      </c>
      <c r="C96" s="511"/>
      <c r="D96" s="511"/>
      <c r="E96" s="511"/>
      <c r="F96" s="511"/>
      <c r="G96" s="540"/>
      <c r="H96" s="540"/>
      <c r="I96" s="540"/>
      <c r="J96" s="540"/>
      <c r="K96" s="541"/>
      <c r="L96" s="542"/>
      <c r="M96" s="543"/>
      <c r="N96" s="1044"/>
      <c r="O96" s="1044"/>
      <c r="P96" s="2058"/>
      <c r="Q96" s="461"/>
    </row>
    <row r="97" spans="1:17" ht="15" thickBot="1" x14ac:dyDescent="0.25">
      <c r="A97" s="491"/>
      <c r="B97" s="500"/>
      <c r="C97" s="527"/>
      <c r="D97" s="527"/>
      <c r="E97" s="527"/>
      <c r="F97" s="527"/>
      <c r="G97" s="493"/>
      <c r="H97" s="493"/>
      <c r="I97" s="493"/>
      <c r="J97" s="493"/>
      <c r="K97" s="493"/>
      <c r="L97" s="493"/>
      <c r="M97" s="494"/>
      <c r="N97" s="1045"/>
      <c r="O97" s="1045"/>
      <c r="P97" s="2058"/>
      <c r="Q97" s="461"/>
    </row>
    <row r="98" spans="1:17" ht="15" thickTop="1" x14ac:dyDescent="0.2">
      <c r="A98" s="491"/>
      <c r="B98" s="503">
        <f>B31</f>
        <v>111</v>
      </c>
      <c r="C98" s="544"/>
      <c r="D98" s="544"/>
      <c r="E98" s="544"/>
      <c r="F98" s="544"/>
      <c r="G98" s="544"/>
      <c r="H98" s="544"/>
      <c r="I98" s="544"/>
      <c r="J98" s="544"/>
      <c r="K98" s="545"/>
      <c r="L98" s="546"/>
      <c r="M98" s="547"/>
      <c r="N98" s="1044"/>
      <c r="O98" s="1044"/>
      <c r="P98" s="2058"/>
      <c r="Q98" s="461"/>
    </row>
    <row r="99" spans="1:17" ht="15" thickBot="1" x14ac:dyDescent="0.25">
      <c r="A99" s="2064"/>
      <c r="B99" s="526"/>
      <c r="C99" s="548"/>
      <c r="D99" s="548"/>
      <c r="E99" s="548"/>
      <c r="F99" s="548"/>
      <c r="G99" s="548"/>
      <c r="H99" s="548"/>
      <c r="I99" s="548"/>
      <c r="J99" s="548"/>
      <c r="K99" s="548"/>
      <c r="L99" s="548"/>
      <c r="M99" s="549"/>
      <c r="N99" s="1045"/>
      <c r="O99" s="1045"/>
      <c r="P99" s="2058"/>
      <c r="Q99" s="461"/>
    </row>
    <row r="100" spans="1:17" x14ac:dyDescent="0.2">
      <c r="A100" s="484" t="s">
        <v>2143</v>
      </c>
      <c r="B100" s="485" t="s">
        <v>2192</v>
      </c>
      <c r="C100" s="487"/>
      <c r="D100" s="487"/>
      <c r="E100" s="487"/>
      <c r="F100" s="487"/>
      <c r="G100" s="487"/>
      <c r="H100" s="487"/>
      <c r="I100" s="487"/>
      <c r="J100" s="487"/>
      <c r="K100" s="488"/>
      <c r="L100" s="489"/>
      <c r="M100" s="490"/>
      <c r="N100" s="1044"/>
      <c r="O100" s="1044"/>
      <c r="P100" s="2058"/>
      <c r="Q100" s="461"/>
    </row>
    <row r="101" spans="1:17" ht="15" thickBot="1" x14ac:dyDescent="0.25">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5" thickTop="1" x14ac:dyDescent="0.2">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x14ac:dyDescent="0.2">
      <c r="A103" s="550"/>
      <c r="B103" s="551"/>
      <c r="C103" s="552"/>
      <c r="D103" s="552"/>
      <c r="E103" s="552"/>
      <c r="F103" s="552"/>
      <c r="G103" s="552"/>
      <c r="H103" s="552"/>
      <c r="I103" s="552"/>
      <c r="J103" s="553"/>
      <c r="K103" s="553"/>
      <c r="L103" s="554"/>
      <c r="M103" s="555"/>
      <c r="N103" s="1046"/>
      <c r="O103" s="1046"/>
      <c r="P103" s="2059"/>
      <c r="Q103" s="516"/>
    </row>
    <row r="104" spans="1:17" s="430" customFormat="1" ht="15" thickBot="1" x14ac:dyDescent="0.25">
      <c r="A104" s="510"/>
      <c r="B104" s="500"/>
      <c r="C104" s="517"/>
      <c r="D104" s="493"/>
      <c r="E104" s="493"/>
      <c r="F104" s="493"/>
      <c r="G104" s="493"/>
      <c r="H104" s="493"/>
      <c r="I104" s="493"/>
      <c r="J104" s="493"/>
      <c r="K104" s="493"/>
      <c r="L104" s="493"/>
      <c r="M104" s="493"/>
      <c r="N104" s="1045"/>
      <c r="O104" s="1045"/>
      <c r="P104" s="2059"/>
      <c r="Q104" s="516"/>
    </row>
    <row r="105" spans="1:17" ht="15" thickTop="1" x14ac:dyDescent="0.2">
      <c r="A105" s="556"/>
      <c r="B105" s="495" t="s">
        <v>2194</v>
      </c>
      <c r="C105" s="511"/>
      <c r="D105" s="511"/>
      <c r="E105" s="540"/>
      <c r="F105" s="540"/>
      <c r="G105" s="540"/>
      <c r="H105" s="540"/>
      <c r="I105" s="540"/>
      <c r="J105" s="540"/>
      <c r="K105" s="541"/>
      <c r="L105" s="542"/>
      <c r="M105" s="543"/>
      <c r="N105" s="1044"/>
      <c r="O105" s="1044"/>
      <c r="P105" s="2058"/>
      <c r="Q105" s="461"/>
    </row>
    <row r="106" spans="1:17" ht="15" thickBot="1" x14ac:dyDescent="0.25">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5" thickTop="1" x14ac:dyDescent="0.2">
      <c r="A107" s="556"/>
      <c r="B107" s="495" t="s">
        <v>2195</v>
      </c>
      <c r="C107" s="540"/>
      <c r="D107" s="540"/>
      <c r="E107" s="540"/>
      <c r="F107" s="540"/>
      <c r="G107" s="540"/>
      <c r="H107" s="540"/>
      <c r="I107" s="540"/>
      <c r="J107" s="540"/>
      <c r="K107" s="541"/>
      <c r="L107" s="542"/>
      <c r="M107" s="543"/>
      <c r="N107" s="1044"/>
      <c r="O107" s="1044"/>
      <c r="P107" s="2058"/>
      <c r="Q107" s="461"/>
    </row>
    <row r="108" spans="1:17" ht="15" thickBot="1" x14ac:dyDescent="0.25">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5" thickTop="1" x14ac:dyDescent="0.2">
      <c r="A109" s="556"/>
      <c r="B109" s="495" t="s">
        <v>2196</v>
      </c>
      <c r="C109" s="511"/>
      <c r="D109" s="511"/>
      <c r="E109" s="511"/>
      <c r="F109" s="540"/>
      <c r="G109" s="540"/>
      <c r="H109" s="540"/>
      <c r="I109" s="540"/>
      <c r="J109" s="540"/>
      <c r="K109" s="541"/>
      <c r="L109" s="542"/>
      <c r="M109" s="543"/>
      <c r="N109" s="1044"/>
      <c r="O109" s="1044"/>
      <c r="P109" s="2058"/>
      <c r="Q109" s="461"/>
    </row>
    <row r="110" spans="1:17" ht="15" thickBot="1" x14ac:dyDescent="0.25">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5" thickTop="1" x14ac:dyDescent="0.2">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x14ac:dyDescent="0.2">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5" thickBot="1" x14ac:dyDescent="0.25">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5" thickTop="1" x14ac:dyDescent="0.2">
      <c r="A114" s="556"/>
      <c r="B114" s="495" t="s">
        <v>2197</v>
      </c>
      <c r="C114" s="511"/>
      <c r="D114" s="511"/>
      <c r="E114" s="540"/>
      <c r="F114" s="540"/>
      <c r="G114" s="540"/>
      <c r="H114" s="540"/>
      <c r="I114" s="540"/>
      <c r="J114" s="540"/>
      <c r="K114" s="541"/>
      <c r="L114" s="542"/>
      <c r="M114" s="543"/>
      <c r="N114" s="1044"/>
      <c r="O114" s="1044"/>
      <c r="P114" s="2058"/>
      <c r="Q114" s="461"/>
    </row>
    <row r="115" spans="1:17" ht="15" thickBot="1" x14ac:dyDescent="0.25">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5" thickTop="1" x14ac:dyDescent="0.2">
      <c r="A116" s="556"/>
      <c r="B116" s="495" t="s">
        <v>2198</v>
      </c>
      <c r="C116" s="511"/>
      <c r="D116" s="511"/>
      <c r="E116" s="511"/>
      <c r="F116" s="511"/>
      <c r="G116" s="511"/>
      <c r="H116" s="540"/>
      <c r="I116" s="540"/>
      <c r="J116" s="540"/>
      <c r="K116" s="541"/>
      <c r="L116" s="542"/>
      <c r="M116" s="543"/>
      <c r="N116" s="1044"/>
      <c r="O116" s="1044"/>
      <c r="P116" s="2058"/>
      <c r="Q116" s="461"/>
    </row>
    <row r="117" spans="1:17" ht="15" thickBot="1" x14ac:dyDescent="0.25">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5" thickTop="1" x14ac:dyDescent="0.2">
      <c r="A118" s="556"/>
      <c r="B118" s="495" t="s">
        <v>2199</v>
      </c>
      <c r="C118" s="540"/>
      <c r="D118" s="540"/>
      <c r="E118" s="540"/>
      <c r="F118" s="540"/>
      <c r="G118" s="540"/>
      <c r="H118" s="540"/>
      <c r="I118" s="540"/>
      <c r="J118" s="540"/>
      <c r="K118" s="541"/>
      <c r="L118" s="542"/>
      <c r="M118" s="543"/>
      <c r="N118" s="1044"/>
      <c r="O118" s="1044"/>
      <c r="P118" s="2058"/>
      <c r="Q118" s="461"/>
    </row>
    <row r="119" spans="1:17" ht="15" thickBot="1" x14ac:dyDescent="0.25">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29" thickTop="1" x14ac:dyDescent="0.2">
      <c r="A120" s="550"/>
      <c r="B120" s="495" t="s">
        <v>2154</v>
      </c>
      <c r="C120" s="511"/>
      <c r="D120" s="511"/>
      <c r="E120" s="511"/>
      <c r="F120" s="511"/>
      <c r="G120" s="511"/>
      <c r="H120" s="511"/>
      <c r="I120" s="511"/>
      <c r="J120" s="511"/>
      <c r="K120" s="511"/>
      <c r="L120" s="537"/>
      <c r="M120" s="538"/>
      <c r="N120" s="1046"/>
      <c r="O120" s="1046"/>
      <c r="P120" s="2059"/>
      <c r="Q120" s="516"/>
    </row>
    <row r="121" spans="1:17" s="430" customFormat="1" ht="15" thickBot="1" x14ac:dyDescent="0.25">
      <c r="A121" s="510"/>
      <c r="B121" s="492"/>
      <c r="C121" s="517"/>
      <c r="D121" s="493"/>
      <c r="E121" s="493"/>
      <c r="F121" s="493"/>
      <c r="G121" s="493"/>
      <c r="H121" s="493"/>
      <c r="I121" s="493"/>
      <c r="J121" s="493"/>
      <c r="K121" s="493"/>
      <c r="L121" s="493"/>
      <c r="M121" s="493"/>
      <c r="N121" s="1046"/>
      <c r="O121" s="1046"/>
      <c r="P121" s="2059"/>
      <c r="Q121" s="516"/>
    </row>
    <row r="122" spans="1:17" ht="15" thickTop="1" x14ac:dyDescent="0.2">
      <c r="A122" s="556"/>
      <c r="B122" s="495" t="s">
        <v>2200</v>
      </c>
      <c r="C122" s="511"/>
      <c r="D122" s="511"/>
      <c r="E122" s="511"/>
      <c r="F122" s="540"/>
      <c r="G122" s="540"/>
      <c r="H122" s="540"/>
      <c r="I122" s="540"/>
      <c r="J122" s="540"/>
      <c r="K122" s="541"/>
      <c r="L122" s="542"/>
      <c r="M122" s="543"/>
      <c r="N122" s="1044"/>
      <c r="O122" s="1044"/>
      <c r="P122" s="2058"/>
      <c r="Q122" s="461"/>
    </row>
    <row r="123" spans="1:17" ht="15" thickBot="1" x14ac:dyDescent="0.25">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15" thickTop="1" x14ac:dyDescent="0.2">
      <c r="A124" s="556"/>
      <c r="B124" s="495" t="s">
        <v>2201</v>
      </c>
      <c r="C124" s="535" t="s">
        <v>2177</v>
      </c>
      <c r="D124" s="535" t="s">
        <v>2178</v>
      </c>
      <c r="E124" s="535" t="s">
        <v>2179</v>
      </c>
      <c r="F124" s="535" t="s">
        <v>2180</v>
      </c>
      <c r="G124" s="535" t="s">
        <v>2181</v>
      </c>
      <c r="H124" s="496"/>
      <c r="I124" s="496"/>
      <c r="J124" s="496"/>
      <c r="K124" s="497"/>
      <c r="L124" s="498"/>
      <c r="M124" s="499"/>
      <c r="N124" s="1044"/>
      <c r="O124" s="1044"/>
      <c r="P124" s="2059"/>
      <c r="Q124" s="461"/>
    </row>
    <row r="125" spans="1:17" ht="15" thickBot="1" x14ac:dyDescent="0.25">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5" thickTop="1" x14ac:dyDescent="0.2">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5" thickBot="1" x14ac:dyDescent="0.25">
      <c r="A127" s="510"/>
      <c r="B127" s="500"/>
      <c r="C127" s="517"/>
      <c r="D127" s="493"/>
      <c r="E127" s="493"/>
      <c r="F127" s="493"/>
      <c r="G127" s="517"/>
      <c r="H127" s="519"/>
      <c r="I127" s="519"/>
      <c r="J127" s="519"/>
      <c r="K127" s="519"/>
      <c r="L127" s="519"/>
      <c r="M127" s="520"/>
      <c r="N127" s="1046"/>
      <c r="O127" s="1046"/>
      <c r="P127" s="2059"/>
      <c r="Q127" s="516"/>
    </row>
    <row r="128" spans="1:17" ht="15" thickTop="1" x14ac:dyDescent="0.2">
      <c r="A128" s="556"/>
      <c r="B128" s="495">
        <f>B45</f>
        <v>111</v>
      </c>
      <c r="C128" s="511"/>
      <c r="D128" s="511"/>
      <c r="E128" s="511"/>
      <c r="F128" s="511"/>
      <c r="G128" s="540"/>
      <c r="H128" s="540"/>
      <c r="I128" s="540"/>
      <c r="J128" s="540"/>
      <c r="K128" s="541"/>
      <c r="L128" s="542"/>
      <c r="M128" s="543"/>
      <c r="N128" s="1044"/>
      <c r="O128" s="1044"/>
      <c r="P128" s="2058"/>
      <c r="Q128" s="461"/>
    </row>
    <row r="129" spans="1:17" ht="15" thickBot="1" x14ac:dyDescent="0.25">
      <c r="A129" s="491"/>
      <c r="B129" s="500"/>
      <c r="C129" s="517"/>
      <c r="D129" s="517"/>
      <c r="E129" s="517"/>
      <c r="F129" s="517"/>
      <c r="G129" s="493"/>
      <c r="H129" s="493"/>
      <c r="I129" s="493"/>
      <c r="J129" s="493"/>
      <c r="K129" s="493"/>
      <c r="L129" s="493"/>
      <c r="M129" s="494"/>
      <c r="N129" s="1045"/>
      <c r="O129" s="1045"/>
      <c r="P129" s="2058"/>
      <c r="Q129" s="461"/>
    </row>
    <row r="130" spans="1:17" ht="15" thickTop="1" x14ac:dyDescent="0.2">
      <c r="A130" s="556"/>
      <c r="B130" s="503">
        <f>B46</f>
        <v>111</v>
      </c>
      <c r="C130" s="511"/>
      <c r="D130" s="511"/>
      <c r="E130" s="511"/>
      <c r="F130" s="511"/>
      <c r="G130" s="544"/>
      <c r="H130" s="544"/>
      <c r="I130" s="544"/>
      <c r="J130" s="544"/>
      <c r="K130" s="480"/>
      <c r="L130" s="481"/>
      <c r="M130" s="547"/>
      <c r="N130" s="1044"/>
      <c r="O130" s="1044"/>
      <c r="P130" s="2058"/>
      <c r="Q130" s="461"/>
    </row>
    <row r="131" spans="1:17" ht="15" thickBot="1" x14ac:dyDescent="0.25">
      <c r="A131" s="2064"/>
      <c r="B131" s="526"/>
      <c r="C131" s="527"/>
      <c r="D131" s="527"/>
      <c r="E131" s="527"/>
      <c r="F131" s="527"/>
      <c r="G131" s="548"/>
      <c r="H131" s="548"/>
      <c r="I131" s="548"/>
      <c r="J131" s="548"/>
      <c r="K131" s="548"/>
      <c r="L131" s="548"/>
      <c r="M131" s="549"/>
      <c r="N131" s="1045"/>
      <c r="O131" s="1045"/>
      <c r="P131" s="2058"/>
      <c r="Q131" s="461"/>
    </row>
    <row r="136" spans="1:17" ht="15" thickBot="1" x14ac:dyDescent="0.25">
      <c r="B136" s="2065" t="s">
        <v>2202</v>
      </c>
    </row>
    <row r="137" spans="1:17" ht="16" x14ac:dyDescent="0.2">
      <c r="B137" s="2066" t="s">
        <v>2203</v>
      </c>
      <c r="C137" s="2067"/>
      <c r="D137" s="2067"/>
      <c r="E137" s="2067"/>
      <c r="F137" s="2067"/>
      <c r="G137" s="2068"/>
      <c r="H137" s="2069"/>
      <c r="I137" s="2070" t="s">
        <v>2204</v>
      </c>
      <c r="J137" s="2067"/>
      <c r="K137" s="2071"/>
    </row>
    <row r="138" spans="1:17" ht="16" x14ac:dyDescent="0.2">
      <c r="B138" s="2072"/>
      <c r="C138" s="142" t="s">
        <v>2205</v>
      </c>
      <c r="D138" s="142" t="s">
        <v>2206</v>
      </c>
      <c r="E138" s="2073" t="s">
        <v>2207</v>
      </c>
      <c r="F138" s="2074" t="s">
        <v>2208</v>
      </c>
      <c r="G138" s="142" t="s">
        <v>2206</v>
      </c>
      <c r="H138" s="143" t="s">
        <v>2207</v>
      </c>
      <c r="I138" s="2075"/>
      <c r="J138" s="142" t="s">
        <v>2209</v>
      </c>
      <c r="K138" s="143" t="s">
        <v>2210</v>
      </c>
    </row>
    <row r="139" spans="1:17" ht="16" x14ac:dyDescent="0.2">
      <c r="B139" s="978">
        <v>6</v>
      </c>
      <c r="C139" s="979">
        <v>96</v>
      </c>
      <c r="D139" s="2076" t="s">
        <v>2211</v>
      </c>
      <c r="E139" s="980">
        <v>100</v>
      </c>
      <c r="F139" s="981">
        <v>102.5</v>
      </c>
      <c r="G139" s="2076" t="s">
        <v>2211</v>
      </c>
      <c r="H139" s="982">
        <v>105</v>
      </c>
      <c r="I139" s="2077" t="s">
        <v>2212</v>
      </c>
      <c r="J139" s="979">
        <v>20</v>
      </c>
      <c r="K139" s="983">
        <f>C145/(J139-2)</f>
        <v>4.0555555555555553E-3</v>
      </c>
    </row>
    <row r="140" spans="1:17" ht="16" x14ac:dyDescent="0.2">
      <c r="B140" s="984">
        <v>5</v>
      </c>
      <c r="C140" s="985">
        <v>100</v>
      </c>
      <c r="D140" s="985"/>
      <c r="E140" s="986"/>
      <c r="F140" s="987">
        <v>102</v>
      </c>
      <c r="G140" s="985"/>
      <c r="H140" s="988"/>
      <c r="I140" s="2078" t="s">
        <v>2213</v>
      </c>
      <c r="J140" s="277">
        <f>ROUNDUP((J139-1)/2,0)</f>
        <v>10</v>
      </c>
      <c r="K140" s="989">
        <v>100</v>
      </c>
    </row>
    <row r="141" spans="1:17" ht="16" x14ac:dyDescent="0.2">
      <c r="B141" s="984">
        <v>4</v>
      </c>
      <c r="C141" s="985">
        <v>102</v>
      </c>
      <c r="D141" s="985"/>
      <c r="E141" s="986"/>
      <c r="F141" s="987">
        <v>101.5</v>
      </c>
      <c r="G141" s="985"/>
      <c r="H141" s="988"/>
      <c r="I141" s="2078" t="s">
        <v>2214</v>
      </c>
      <c r="J141" s="277">
        <v>1</v>
      </c>
      <c r="K141" s="990">
        <f>ROUND(100+(J141-J140)*K139*100,1)</f>
        <v>96.4</v>
      </c>
    </row>
    <row r="142" spans="1:17" ht="16" x14ac:dyDescent="0.2">
      <c r="B142" s="984">
        <v>3</v>
      </c>
      <c r="C142" s="985">
        <v>103</v>
      </c>
      <c r="D142" s="985"/>
      <c r="E142" s="986"/>
      <c r="F142" s="987">
        <v>101</v>
      </c>
      <c r="G142" s="985"/>
      <c r="H142" s="988"/>
      <c r="I142" s="2078" t="s">
        <v>2215</v>
      </c>
      <c r="J142" s="277">
        <f>J139</f>
        <v>20</v>
      </c>
      <c r="K142" s="991">
        <v>95</v>
      </c>
    </row>
    <row r="143" spans="1:17" ht="16" x14ac:dyDescent="0.2">
      <c r="B143" s="984">
        <v>2</v>
      </c>
      <c r="C143" s="985">
        <v>100</v>
      </c>
      <c r="D143" s="985"/>
      <c r="E143" s="986"/>
      <c r="F143" s="987">
        <v>100.5</v>
      </c>
      <c r="G143" s="985"/>
      <c r="H143" s="988"/>
      <c r="I143" s="2078" t="s">
        <v>2216</v>
      </c>
      <c r="J143" s="985">
        <v>15</v>
      </c>
      <c r="K143" s="990">
        <f>ROUND(100+(J143-J140)*K139*100,1)</f>
        <v>102</v>
      </c>
    </row>
    <row r="144" spans="1:17" ht="16" x14ac:dyDescent="0.2">
      <c r="B144" s="984">
        <v>1</v>
      </c>
      <c r="C144" s="985">
        <v>98</v>
      </c>
      <c r="D144" s="2079" t="s">
        <v>2217</v>
      </c>
      <c r="E144" s="986">
        <v>102</v>
      </c>
      <c r="F144" s="992">
        <v>100</v>
      </c>
      <c r="G144" s="2079" t="s">
        <v>2217</v>
      </c>
      <c r="H144" s="988">
        <v>105</v>
      </c>
      <c r="I144" s="2078" t="s">
        <v>2216</v>
      </c>
      <c r="J144" s="985">
        <v>18</v>
      </c>
      <c r="K144" s="990">
        <f>ROUND(100+(J144-J140)*K139*100,1)</f>
        <v>103.2</v>
      </c>
    </row>
    <row r="145" spans="2:11" ht="17" thickBot="1" x14ac:dyDescent="0.25">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x14ac:dyDescent="0.2">
      <c r="B147" s="2065" t="s">
        <v>2220</v>
      </c>
    </row>
    <row r="148" spans="2:11" x14ac:dyDescent="0.2">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view="pageBreakPreview" zoomScale="60" zoomScaleNormal="70" workbookViewId="0">
      <selection activeCell="F7" sqref="F7:F47"/>
    </sheetView>
  </sheetViews>
  <sheetFormatPr baseColWidth="10" defaultColWidth="9" defaultRowHeight="14" x14ac:dyDescent="0.2"/>
  <cols>
    <col min="1" max="1" width="10.5" style="363" customWidth="1"/>
    <col min="2" max="3" width="15.66406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1017"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353" customFormat="1" ht="28.5" customHeight="1" thickBot="1" x14ac:dyDescent="0.25">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x14ac:dyDescent="0.2">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8" customFormat="1" ht="28.5" customHeight="1" thickBot="1" x14ac:dyDescent="0.25">
      <c r="A3" s="209" t="s">
        <v>1909</v>
      </c>
      <c r="B3" s="566" t="e">
        <f ca="1">IF(C2="——",C50,ROUND(B2*10000/D3,0))</f>
        <v>#DIV/0!</v>
      </c>
      <c r="C3" s="360" t="s">
        <v>2224</v>
      </c>
      <c r="D3" s="359">
        <f>IF(D1="",'数据-汇总表'!E3,SUMIF('数据-汇总表'!$C19:$C33,D1,'数据-汇总表'!$E19:$E33))</f>
        <v>58.81</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x14ac:dyDescent="0.2">
      <c r="A4" s="361" t="s">
        <v>2225</v>
      </c>
      <c r="B4" s="362"/>
      <c r="C4" s="3679" t="s">
        <v>2226</v>
      </c>
      <c r="D4" s="3680"/>
      <c r="E4" s="3681" t="s">
        <v>2227</v>
      </c>
      <c r="F4" s="3682"/>
      <c r="G4" s="3679" t="s">
        <v>2228</v>
      </c>
      <c r="H4" s="3680"/>
      <c r="I4" s="3679" t="s">
        <v>2229</v>
      </c>
      <c r="J4" s="3680"/>
      <c r="K4" s="567" t="s">
        <v>2230</v>
      </c>
      <c r="L4" s="2893"/>
      <c r="M4" s="2894"/>
      <c r="N4" s="2894"/>
      <c r="O4" s="2894"/>
      <c r="P4" s="3713" t="s">
        <v>2231</v>
      </c>
      <c r="Q4" s="3714"/>
      <c r="R4" s="3717" t="s">
        <v>2227</v>
      </c>
      <c r="S4" s="3718"/>
      <c r="T4" s="3717" t="s">
        <v>2228</v>
      </c>
      <c r="U4" s="3718"/>
      <c r="V4" s="3719" t="s">
        <v>2229</v>
      </c>
      <c r="W4" s="3719"/>
      <c r="X4" s="2094"/>
      <c r="Y4" s="3717" t="s">
        <v>2231</v>
      </c>
      <c r="Z4" s="3718"/>
      <c r="AA4" s="3721" t="s">
        <v>2227</v>
      </c>
      <c r="AB4" s="3721" t="s">
        <v>2228</v>
      </c>
      <c r="AC4" s="3710" t="s">
        <v>2229</v>
      </c>
    </row>
    <row r="5" spans="1:29" x14ac:dyDescent="0.2">
      <c r="A5" s="364"/>
      <c r="B5" s="365"/>
      <c r="C5" s="3698" t="s">
        <v>2122</v>
      </c>
      <c r="D5" s="3699"/>
      <c r="E5" s="3705" t="s">
        <v>2123</v>
      </c>
      <c r="F5" s="3706"/>
      <c r="G5" s="3698" t="s">
        <v>2124</v>
      </c>
      <c r="H5" s="3699"/>
      <c r="I5" s="3698" t="s">
        <v>2125</v>
      </c>
      <c r="J5" s="3699"/>
      <c r="K5" s="567"/>
      <c r="L5" s="2893"/>
      <c r="M5" s="2894"/>
      <c r="N5" s="2894"/>
      <c r="O5" s="2894"/>
      <c r="P5" s="3715"/>
      <c r="Q5" s="3686"/>
      <c r="R5" s="3691"/>
      <c r="S5" s="3692"/>
      <c r="T5" s="3691"/>
      <c r="U5" s="3692"/>
      <c r="V5" s="3695"/>
      <c r="W5" s="3695"/>
      <c r="X5" s="1489"/>
      <c r="Y5" s="3691"/>
      <c r="Z5" s="3692"/>
      <c r="AA5" s="3677"/>
      <c r="AB5" s="3677"/>
      <c r="AC5" s="3711"/>
    </row>
    <row r="6" spans="1:29" ht="15" thickBot="1" x14ac:dyDescent="0.25">
      <c r="A6" s="366"/>
      <c r="B6" s="367"/>
      <c r="C6" s="3696" t="s">
        <v>2126</v>
      </c>
      <c r="D6" s="3697"/>
      <c r="E6" s="3703" t="s">
        <v>2126</v>
      </c>
      <c r="F6" s="3704"/>
      <c r="G6" s="3696" t="s">
        <v>2126</v>
      </c>
      <c r="H6" s="3697"/>
      <c r="I6" s="3696" t="s">
        <v>2126</v>
      </c>
      <c r="J6" s="3697"/>
      <c r="K6" s="567" t="s">
        <v>2127</v>
      </c>
      <c r="L6" s="2893"/>
      <c r="M6" s="2894"/>
      <c r="N6" s="2894"/>
      <c r="O6" s="2894"/>
      <c r="P6" s="3716"/>
      <c r="Q6" s="3688"/>
      <c r="R6" s="3691"/>
      <c r="S6" s="3692"/>
      <c r="T6" s="3693"/>
      <c r="U6" s="3694"/>
      <c r="V6" s="3695"/>
      <c r="W6" s="3695"/>
      <c r="X6" s="1489"/>
      <c r="Y6" s="3693"/>
      <c r="Z6" s="3694"/>
      <c r="AA6" s="3678"/>
      <c r="AB6" s="3678"/>
      <c r="AC6" s="3712"/>
    </row>
    <row r="7" spans="1:29" s="113" customFormat="1" ht="15" thickBot="1" x14ac:dyDescent="0.25">
      <c r="A7" s="368" t="s">
        <v>2128</v>
      </c>
      <c r="B7" s="369"/>
      <c r="C7" s="370">
        <f>'数据-取费表'!B2</f>
        <v>44868</v>
      </c>
      <c r="D7" s="371">
        <v>100</v>
      </c>
      <c r="E7" s="372"/>
      <c r="F7" s="373">
        <f>SUMIF(59:59,YEAR(E7)&amp;"-"&amp;MONTH(E7),60:60)</f>
        <v>0</v>
      </c>
      <c r="G7" s="372"/>
      <c r="H7" s="371">
        <f>SUMIF(59:59,YEAR(G7)&amp;"-"&amp;MONTH(G7),60:60)</f>
        <v>0</v>
      </c>
      <c r="I7" s="372"/>
      <c r="J7" s="371">
        <f>SUMIF(59:59,YEAR(I7)&amp;"-"&amp;MONTH(I7),60:60)</f>
        <v>0</v>
      </c>
      <c r="K7" s="568"/>
      <c r="L7" s="2895"/>
      <c r="M7" s="2896"/>
      <c r="N7" s="2896"/>
      <c r="O7" s="2896"/>
      <c r="P7" s="3720" t="s">
        <v>2129</v>
      </c>
      <c r="Q7" s="3702"/>
      <c r="R7" s="709" t="s">
        <v>17</v>
      </c>
      <c r="S7" s="710">
        <f t="shared" ref="S7:S15" si="0">F7</f>
        <v>0</v>
      </c>
      <c r="T7" s="709" t="s">
        <v>17</v>
      </c>
      <c r="U7" s="710">
        <f t="shared" ref="U7:U15" si="1">H7</f>
        <v>0</v>
      </c>
      <c r="V7" s="709" t="s">
        <v>17</v>
      </c>
      <c r="W7" s="710">
        <f t="shared" ref="W7:W15" si="2">J7</f>
        <v>0</v>
      </c>
      <c r="X7" s="711"/>
      <c r="Y7" s="3700" t="s">
        <v>2129</v>
      </c>
      <c r="Z7" s="3701"/>
      <c r="AA7" s="712" t="e">
        <f>D7/F7</f>
        <v>#DIV/0!</v>
      </c>
      <c r="AB7" s="712" t="e">
        <f>D7/H7</f>
        <v>#DIV/0!</v>
      </c>
      <c r="AC7" s="2095" t="e">
        <f>D7/J7</f>
        <v>#DIV/0!</v>
      </c>
    </row>
    <row r="8" spans="1:29" s="113" customFormat="1" ht="15" thickBot="1" x14ac:dyDescent="0.25">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720" t="s">
        <v>2132</v>
      </c>
      <c r="Q8" s="3701"/>
      <c r="R8" s="709" t="s">
        <v>17</v>
      </c>
      <c r="S8" s="710">
        <f t="shared" si="0"/>
        <v>0</v>
      </c>
      <c r="T8" s="709" t="s">
        <v>17</v>
      </c>
      <c r="U8" s="710">
        <f t="shared" si="1"/>
        <v>0</v>
      </c>
      <c r="V8" s="709" t="s">
        <v>17</v>
      </c>
      <c r="W8" s="710">
        <f t="shared" si="2"/>
        <v>0</v>
      </c>
      <c r="X8" s="711"/>
      <c r="Y8" s="3700" t="s">
        <v>2132</v>
      </c>
      <c r="Z8" s="3701"/>
      <c r="AA8" s="712" t="e">
        <f t="shared" ref="AA8:AA47" si="3">D8/F8</f>
        <v>#DIV/0!</v>
      </c>
      <c r="AB8" s="712" t="e">
        <f t="shared" ref="AB8:AB47" si="4">D8/H8</f>
        <v>#DIV/0!</v>
      </c>
      <c r="AC8" s="2095" t="e">
        <f t="shared" ref="AC8:AC47" si="5">D8/J8</f>
        <v>#DIV/0!</v>
      </c>
    </row>
    <row r="9" spans="1:29" s="113" customFormat="1" x14ac:dyDescent="0.2">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675" t="s">
        <v>2135</v>
      </c>
      <c r="Q9" s="1477" t="str">
        <f t="shared" ref="Q9:Q15" si="6">B9</f>
        <v>用途</v>
      </c>
      <c r="R9" s="709" t="s">
        <v>17</v>
      </c>
      <c r="S9" s="710">
        <f t="shared" si="0"/>
        <v>100</v>
      </c>
      <c r="T9" s="709" t="s">
        <v>17</v>
      </c>
      <c r="U9" s="710">
        <f t="shared" si="1"/>
        <v>100</v>
      </c>
      <c r="V9" s="709" t="s">
        <v>17</v>
      </c>
      <c r="W9" s="710">
        <f t="shared" si="2"/>
        <v>100</v>
      </c>
      <c r="X9" s="711"/>
      <c r="Y9" s="3536" t="s">
        <v>2136</v>
      </c>
      <c r="Z9" s="55" t="str">
        <f t="shared" ref="Z9:Z15" si="7">Q9</f>
        <v>用途</v>
      </c>
      <c r="AA9" s="712">
        <f t="shared" si="3"/>
        <v>1</v>
      </c>
      <c r="AB9" s="712">
        <f t="shared" si="4"/>
        <v>1</v>
      </c>
      <c r="AC9" s="2095">
        <f t="shared" si="5"/>
        <v>1</v>
      </c>
    </row>
    <row r="10" spans="1:29" s="386" customFormat="1" ht="28" x14ac:dyDescent="0.2">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675"/>
      <c r="Q10" s="1477" t="str">
        <f t="shared" si="6"/>
        <v>土地使用年限（年）</v>
      </c>
      <c r="R10" s="709" t="s">
        <v>17</v>
      </c>
      <c r="S10" s="710">
        <f t="shared" si="0"/>
        <v>100</v>
      </c>
      <c r="T10" s="709" t="s">
        <v>17</v>
      </c>
      <c r="U10" s="710">
        <f t="shared" si="1"/>
        <v>100</v>
      </c>
      <c r="V10" s="709" t="s">
        <v>17</v>
      </c>
      <c r="W10" s="710">
        <f t="shared" si="2"/>
        <v>100</v>
      </c>
      <c r="X10" s="711"/>
      <c r="Y10" s="3536"/>
      <c r="Z10" s="55" t="str">
        <f t="shared" si="7"/>
        <v>土地使用年限（年）</v>
      </c>
      <c r="AA10" s="712">
        <f t="shared" si="3"/>
        <v>1</v>
      </c>
      <c r="AB10" s="712">
        <f t="shared" si="4"/>
        <v>1</v>
      </c>
      <c r="AC10" s="2095">
        <f t="shared" si="5"/>
        <v>1</v>
      </c>
    </row>
    <row r="11" spans="1:29" ht="16" x14ac:dyDescent="0.2">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675"/>
      <c r="Q11" s="1477" t="str">
        <f t="shared" si="6"/>
        <v>容积率</v>
      </c>
      <c r="R11" s="709" t="s">
        <v>17</v>
      </c>
      <c r="S11" s="710" t="e">
        <f t="shared" si="0"/>
        <v>#N/A</v>
      </c>
      <c r="T11" s="709" t="s">
        <v>17</v>
      </c>
      <c r="U11" s="710" t="e">
        <f t="shared" si="1"/>
        <v>#N/A</v>
      </c>
      <c r="V11" s="709" t="s">
        <v>17</v>
      </c>
      <c r="W11" s="710" t="e">
        <f t="shared" si="2"/>
        <v>#N/A</v>
      </c>
      <c r="X11" s="711"/>
      <c r="Y11" s="3536"/>
      <c r="Z11" s="55" t="str">
        <f t="shared" si="7"/>
        <v>容积率</v>
      </c>
      <c r="AA11" s="712" t="e">
        <f t="shared" si="3"/>
        <v>#N/A</v>
      </c>
      <c r="AB11" s="712" t="e">
        <f t="shared" si="4"/>
        <v>#N/A</v>
      </c>
      <c r="AC11" s="2095" t="e">
        <f t="shared" si="5"/>
        <v>#N/A</v>
      </c>
    </row>
    <row r="12" spans="1:29" s="113" customFormat="1" ht="16" x14ac:dyDescent="0.2">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675"/>
      <c r="Q12" s="1477">
        <f t="shared" si="6"/>
        <v>111</v>
      </c>
      <c r="R12" s="709" t="s">
        <v>17</v>
      </c>
      <c r="S12" s="710">
        <f t="shared" si="0"/>
        <v>100</v>
      </c>
      <c r="T12" s="709" t="s">
        <v>17</v>
      </c>
      <c r="U12" s="710">
        <f t="shared" si="1"/>
        <v>100</v>
      </c>
      <c r="V12" s="709" t="s">
        <v>17</v>
      </c>
      <c r="W12" s="710">
        <f t="shared" si="2"/>
        <v>100</v>
      </c>
      <c r="X12" s="711"/>
      <c r="Y12" s="3536"/>
      <c r="Z12" s="55">
        <f t="shared" si="7"/>
        <v>111</v>
      </c>
      <c r="AA12" s="712">
        <f>D12/F12</f>
        <v>1</v>
      </c>
      <c r="AB12" s="712">
        <f>D12/H12</f>
        <v>1</v>
      </c>
      <c r="AC12" s="2095">
        <f>D12/J12</f>
        <v>1</v>
      </c>
    </row>
    <row r="13" spans="1:29" ht="16" x14ac:dyDescent="0.2">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675"/>
      <c r="Q13" s="1477">
        <f t="shared" si="6"/>
        <v>111</v>
      </c>
      <c r="R13" s="709" t="s">
        <v>17</v>
      </c>
      <c r="S13" s="710">
        <f t="shared" si="0"/>
        <v>100</v>
      </c>
      <c r="T13" s="709" t="s">
        <v>17</v>
      </c>
      <c r="U13" s="710">
        <f t="shared" si="1"/>
        <v>100</v>
      </c>
      <c r="V13" s="709" t="s">
        <v>17</v>
      </c>
      <c r="W13" s="710">
        <f t="shared" si="2"/>
        <v>100</v>
      </c>
      <c r="X13" s="711"/>
      <c r="Y13" s="3536"/>
      <c r="Z13" s="55">
        <f t="shared" si="7"/>
        <v>111</v>
      </c>
      <c r="AA13" s="712">
        <f t="shared" si="3"/>
        <v>1</v>
      </c>
      <c r="AB13" s="712">
        <f t="shared" si="4"/>
        <v>1</v>
      </c>
      <c r="AC13" s="2095">
        <f t="shared" si="5"/>
        <v>1</v>
      </c>
    </row>
    <row r="14" spans="1:29" ht="17" thickBot="1" x14ac:dyDescent="0.25">
      <c r="A14" s="395"/>
      <c r="B14" s="2031">
        <v>111</v>
      </c>
      <c r="C14" s="396"/>
      <c r="D14" s="397">
        <v>100</v>
      </c>
      <c r="E14" s="583"/>
      <c r="F14" s="397">
        <f>SUMIF(75:75,E14,76:76)-SUMIF(75:75,C14,76:76)+100</f>
        <v>100</v>
      </c>
      <c r="G14" s="2096"/>
      <c r="H14" s="397">
        <f>SUMIF(75:75,G14,76:76)-SUMIF(75:75,C14,76:76)+100</f>
        <v>100</v>
      </c>
      <c r="I14" s="391"/>
      <c r="J14" s="397">
        <f>SUMIF(75:75,I14,76:76)-SUMIF(75:75,C14,76:76)+100</f>
        <v>100</v>
      </c>
      <c r="K14" s="570"/>
      <c r="L14" s="2900"/>
      <c r="M14" s="2894"/>
      <c r="N14" s="2894"/>
      <c r="O14" s="2894"/>
      <c r="P14" s="3675"/>
      <c r="Q14" s="1477">
        <f t="shared" si="6"/>
        <v>111</v>
      </c>
      <c r="R14" s="709" t="s">
        <v>17</v>
      </c>
      <c r="S14" s="710">
        <f t="shared" si="0"/>
        <v>100</v>
      </c>
      <c r="T14" s="709" t="s">
        <v>17</v>
      </c>
      <c r="U14" s="710">
        <f t="shared" si="1"/>
        <v>100</v>
      </c>
      <c r="V14" s="709" t="s">
        <v>17</v>
      </c>
      <c r="W14" s="710">
        <f t="shared" si="2"/>
        <v>100</v>
      </c>
      <c r="X14" s="711"/>
      <c r="Y14" s="3536"/>
      <c r="Z14" s="55">
        <f t="shared" si="7"/>
        <v>111</v>
      </c>
      <c r="AA14" s="712">
        <f t="shared" si="3"/>
        <v>1</v>
      </c>
      <c r="AB14" s="712">
        <f t="shared" si="4"/>
        <v>1</v>
      </c>
      <c r="AC14" s="2095">
        <f t="shared" si="5"/>
        <v>1</v>
      </c>
    </row>
    <row r="15" spans="1:29" ht="70" x14ac:dyDescent="0.2">
      <c r="A15" s="399" t="s">
        <v>2139</v>
      </c>
      <c r="B15" s="584"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673" t="s">
        <v>2140</v>
      </c>
      <c r="Q15" s="1486" t="str">
        <f t="shared" si="6"/>
        <v>办公集聚程度</v>
      </c>
      <c r="R15" s="713" t="s">
        <v>17</v>
      </c>
      <c r="S15" s="714">
        <f t="shared" si="0"/>
        <v>100</v>
      </c>
      <c r="T15" s="713" t="s">
        <v>17</v>
      </c>
      <c r="U15" s="714">
        <f t="shared" si="1"/>
        <v>100</v>
      </c>
      <c r="V15" s="713" t="s">
        <v>17</v>
      </c>
      <c r="W15" s="714">
        <f t="shared" si="2"/>
        <v>100</v>
      </c>
      <c r="X15" s="1489"/>
      <c r="Y15" s="3666" t="s">
        <v>2140</v>
      </c>
      <c r="Z15" s="1490" t="str">
        <f t="shared" si="7"/>
        <v>办公集聚程度</v>
      </c>
      <c r="AA15" s="1487">
        <f t="shared" si="3"/>
        <v>1</v>
      </c>
      <c r="AB15" s="1487">
        <f t="shared" si="4"/>
        <v>1</v>
      </c>
      <c r="AC15" s="2098">
        <f t="shared" si="5"/>
        <v>1</v>
      </c>
    </row>
    <row r="16" spans="1:29" ht="16" x14ac:dyDescent="0.2">
      <c r="A16" s="387"/>
      <c r="B16" s="585"/>
      <c r="C16" s="2040"/>
      <c r="D16" s="407"/>
      <c r="E16" s="406"/>
      <c r="F16" s="407"/>
      <c r="G16" s="2040"/>
      <c r="H16" s="409"/>
      <c r="I16" s="406"/>
      <c r="J16" s="407"/>
      <c r="K16" s="572"/>
      <c r="L16" s="2900"/>
      <c r="M16" s="2894"/>
      <c r="N16" s="2894"/>
      <c r="O16" s="2894"/>
      <c r="P16" s="3674"/>
      <c r="Q16" s="1486"/>
      <c r="R16" s="713"/>
      <c r="S16" s="714"/>
      <c r="T16" s="713"/>
      <c r="U16" s="714"/>
      <c r="V16" s="713"/>
      <c r="W16" s="714"/>
      <c r="X16" s="1489"/>
      <c r="Y16" s="3667"/>
      <c r="Z16" s="1490"/>
      <c r="AA16" s="1487">
        <v>1</v>
      </c>
      <c r="AB16" s="1487">
        <v>1</v>
      </c>
      <c r="AC16" s="2098">
        <v>1</v>
      </c>
    </row>
    <row r="17" spans="1:29" ht="70" x14ac:dyDescent="0.2">
      <c r="A17" s="387"/>
      <c r="B17" s="586"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674"/>
      <c r="Q17" s="1486" t="str">
        <f>B17</f>
        <v>交通便捷度</v>
      </c>
      <c r="R17" s="713" t="s">
        <v>17</v>
      </c>
      <c r="S17" s="714">
        <f>F17</f>
        <v>100</v>
      </c>
      <c r="T17" s="713" t="s">
        <v>17</v>
      </c>
      <c r="U17" s="714">
        <f>H17</f>
        <v>100</v>
      </c>
      <c r="V17" s="713" t="s">
        <v>17</v>
      </c>
      <c r="W17" s="714">
        <f>J17</f>
        <v>100</v>
      </c>
      <c r="X17" s="1489"/>
      <c r="Y17" s="3667"/>
      <c r="Z17" s="1490" t="str">
        <f>Q17</f>
        <v>交通便捷度</v>
      </c>
      <c r="AA17" s="1487">
        <f t="shared" si="3"/>
        <v>1</v>
      </c>
      <c r="AB17" s="1487">
        <f t="shared" si="4"/>
        <v>1</v>
      </c>
      <c r="AC17" s="2098">
        <f t="shared" si="5"/>
        <v>1</v>
      </c>
    </row>
    <row r="18" spans="1:29" ht="16" x14ac:dyDescent="0.2">
      <c r="A18" s="387"/>
      <c r="B18" s="587"/>
      <c r="C18" s="2100"/>
      <c r="D18" s="409"/>
      <c r="E18" s="2038"/>
      <c r="F18" s="409"/>
      <c r="G18" s="2039"/>
      <c r="H18" s="407"/>
      <c r="I18" s="2039"/>
      <c r="J18" s="407"/>
      <c r="K18" s="572"/>
      <c r="L18" s="2900"/>
      <c r="M18" s="2894"/>
      <c r="N18" s="2894"/>
      <c r="O18" s="2894"/>
      <c r="P18" s="3674"/>
      <c r="Q18" s="1486"/>
      <c r="R18" s="713"/>
      <c r="S18" s="714"/>
      <c r="T18" s="713"/>
      <c r="U18" s="714"/>
      <c r="V18" s="713"/>
      <c r="W18" s="714"/>
      <c r="X18" s="1489"/>
      <c r="Y18" s="3667"/>
      <c r="Z18" s="1490"/>
      <c r="AA18" s="1487">
        <v>1</v>
      </c>
      <c r="AB18" s="1487">
        <v>1</v>
      </c>
      <c r="AC18" s="2098">
        <v>1</v>
      </c>
    </row>
    <row r="19" spans="1:29" ht="42" x14ac:dyDescent="0.2">
      <c r="A19" s="387"/>
      <c r="B19" s="586"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674"/>
      <c r="Q19" s="1486" t="str">
        <f>B19</f>
        <v>公共配套设施</v>
      </c>
      <c r="R19" s="713" t="s">
        <v>17</v>
      </c>
      <c r="S19" s="714">
        <f>F19</f>
        <v>100</v>
      </c>
      <c r="T19" s="713" t="s">
        <v>17</v>
      </c>
      <c r="U19" s="714">
        <f>H19</f>
        <v>100</v>
      </c>
      <c r="V19" s="713" t="s">
        <v>17</v>
      </c>
      <c r="W19" s="714">
        <f>J19</f>
        <v>100</v>
      </c>
      <c r="X19" s="1489"/>
      <c r="Y19" s="3667"/>
      <c r="Z19" s="1490" t="str">
        <f>Q19</f>
        <v>公共配套设施</v>
      </c>
      <c r="AA19" s="1487">
        <f t="shared" si="3"/>
        <v>1</v>
      </c>
      <c r="AB19" s="1487">
        <f t="shared" si="4"/>
        <v>1</v>
      </c>
      <c r="AC19" s="2098">
        <f t="shared" si="5"/>
        <v>1</v>
      </c>
    </row>
    <row r="20" spans="1:29" ht="16" x14ac:dyDescent="0.2">
      <c r="A20" s="387"/>
      <c r="B20" s="587"/>
      <c r="C20" s="2040"/>
      <c r="D20" s="407"/>
      <c r="E20" s="2033"/>
      <c r="F20" s="407"/>
      <c r="G20" s="2034"/>
      <c r="H20" s="407"/>
      <c r="I20" s="2034"/>
      <c r="J20" s="407"/>
      <c r="K20" s="572"/>
      <c r="L20" s="2900"/>
      <c r="M20" s="2894"/>
      <c r="N20" s="2894"/>
      <c r="O20" s="2894"/>
      <c r="P20" s="3674"/>
      <c r="Q20" s="1486"/>
      <c r="R20" s="713"/>
      <c r="S20" s="714"/>
      <c r="T20" s="713"/>
      <c r="U20" s="714"/>
      <c r="V20" s="713"/>
      <c r="W20" s="714"/>
      <c r="X20" s="1489"/>
      <c r="Y20" s="3667"/>
      <c r="Z20" s="1490"/>
      <c r="AA20" s="1487">
        <v>1</v>
      </c>
      <c r="AB20" s="1487">
        <v>1</v>
      </c>
      <c r="AC20" s="2098">
        <v>1</v>
      </c>
    </row>
    <row r="21" spans="1:29" ht="28" x14ac:dyDescent="0.2">
      <c r="A21" s="387"/>
      <c r="B21" s="588"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674"/>
      <c r="Q21" s="1486" t="str">
        <f>B21</f>
        <v>基础设施水平</v>
      </c>
      <c r="R21" s="713" t="s">
        <v>17</v>
      </c>
      <c r="S21" s="714">
        <f>F21</f>
        <v>100</v>
      </c>
      <c r="T21" s="713" t="s">
        <v>17</v>
      </c>
      <c r="U21" s="714">
        <f>H21</f>
        <v>100</v>
      </c>
      <c r="V21" s="713" t="s">
        <v>17</v>
      </c>
      <c r="W21" s="714">
        <f>J21</f>
        <v>100</v>
      </c>
      <c r="X21" s="1489"/>
      <c r="Y21" s="3667"/>
      <c r="Z21" s="1490" t="str">
        <f>Q21</f>
        <v>基础设施水平</v>
      </c>
      <c r="AA21" s="1487">
        <f t="shared" ref="AA21" si="8">D21/F21</f>
        <v>1</v>
      </c>
      <c r="AB21" s="1487">
        <f t="shared" ref="AB21" si="9">D21/H21</f>
        <v>1</v>
      </c>
      <c r="AC21" s="2098">
        <f t="shared" ref="AC21" si="10">D21/J21</f>
        <v>1</v>
      </c>
    </row>
    <row r="22" spans="1:29" ht="16" x14ac:dyDescent="0.2">
      <c r="A22" s="387"/>
      <c r="B22" s="588"/>
      <c r="C22" s="2100"/>
      <c r="D22" s="407"/>
      <c r="E22" s="406"/>
      <c r="F22" s="407"/>
      <c r="G22" s="2040"/>
      <c r="H22" s="407"/>
      <c r="I22" s="2040"/>
      <c r="J22" s="407"/>
      <c r="K22" s="1244"/>
      <c r="L22" s="2900"/>
      <c r="M22" s="2894"/>
      <c r="N22" s="2894"/>
      <c r="O22" s="2894"/>
      <c r="P22" s="3674"/>
      <c r="Q22" s="1486"/>
      <c r="R22" s="713"/>
      <c r="S22" s="714"/>
      <c r="T22" s="713"/>
      <c r="U22" s="714"/>
      <c r="V22" s="713"/>
      <c r="W22" s="714"/>
      <c r="X22" s="1489"/>
      <c r="Y22" s="3667"/>
      <c r="Z22" s="1490"/>
      <c r="AA22" s="1487">
        <v>1</v>
      </c>
      <c r="AB22" s="1487">
        <v>1</v>
      </c>
      <c r="AC22" s="2098">
        <v>1</v>
      </c>
    </row>
    <row r="23" spans="1:29" ht="42" x14ac:dyDescent="0.2">
      <c r="A23" s="387"/>
      <c r="B23" s="586"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674"/>
      <c r="Q23" s="1486" t="str">
        <f>B23</f>
        <v>环境质量</v>
      </c>
      <c r="R23" s="713" t="s">
        <v>17</v>
      </c>
      <c r="S23" s="714">
        <f>F23</f>
        <v>100</v>
      </c>
      <c r="T23" s="713" t="s">
        <v>17</v>
      </c>
      <c r="U23" s="714">
        <f>H23</f>
        <v>100</v>
      </c>
      <c r="V23" s="713" t="s">
        <v>17</v>
      </c>
      <c r="W23" s="714">
        <f>J23</f>
        <v>100</v>
      </c>
      <c r="X23" s="1489"/>
      <c r="Y23" s="3667"/>
      <c r="Z23" s="1490" t="str">
        <f>Q23</f>
        <v>环境质量</v>
      </c>
      <c r="AA23" s="1487">
        <f t="shared" si="3"/>
        <v>1</v>
      </c>
      <c r="AB23" s="1487">
        <f t="shared" si="4"/>
        <v>1</v>
      </c>
      <c r="AC23" s="2098">
        <f t="shared" si="5"/>
        <v>1</v>
      </c>
    </row>
    <row r="24" spans="1:29" ht="16" x14ac:dyDescent="0.2">
      <c r="A24" s="387"/>
      <c r="B24" s="588"/>
      <c r="C24" s="2040"/>
      <c r="D24" s="407"/>
      <c r="E24" s="2033"/>
      <c r="F24" s="407"/>
      <c r="G24" s="2034"/>
      <c r="H24" s="407"/>
      <c r="I24" s="2034"/>
      <c r="J24" s="407"/>
      <c r="K24" s="572"/>
      <c r="L24" s="2900"/>
      <c r="M24" s="2894"/>
      <c r="N24" s="2894"/>
      <c r="O24" s="2894"/>
      <c r="P24" s="3674"/>
      <c r="Q24" s="1486"/>
      <c r="R24" s="713"/>
      <c r="S24" s="714"/>
      <c r="T24" s="713"/>
      <c r="U24" s="714"/>
      <c r="V24" s="713"/>
      <c r="W24" s="714"/>
      <c r="X24" s="1489"/>
      <c r="Y24" s="3667"/>
      <c r="Z24" s="1490"/>
      <c r="AA24" s="1487">
        <v>1</v>
      </c>
      <c r="AB24" s="1487">
        <v>1</v>
      </c>
      <c r="AC24" s="2098">
        <v>1</v>
      </c>
    </row>
    <row r="25" spans="1:29" ht="28" x14ac:dyDescent="0.2">
      <c r="A25" s="364"/>
      <c r="B25" s="586"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674"/>
      <c r="Q25" s="1486" t="str">
        <f>B25</f>
        <v>毗邻道路的类型与等级</v>
      </c>
      <c r="R25" s="713" t="s">
        <v>17</v>
      </c>
      <c r="S25" s="714">
        <f>F25</f>
        <v>100</v>
      </c>
      <c r="T25" s="713" t="s">
        <v>17</v>
      </c>
      <c r="U25" s="714">
        <f>H25</f>
        <v>100</v>
      </c>
      <c r="V25" s="713" t="s">
        <v>17</v>
      </c>
      <c r="W25" s="714">
        <f>J25</f>
        <v>100</v>
      </c>
      <c r="X25" s="1489"/>
      <c r="Y25" s="3667"/>
      <c r="Z25" s="1490" t="str">
        <f>Q25</f>
        <v>毗邻道路的类型与等级</v>
      </c>
      <c r="AA25" s="1487">
        <f t="shared" si="3"/>
        <v>1</v>
      </c>
      <c r="AB25" s="1487">
        <f t="shared" si="4"/>
        <v>1</v>
      </c>
      <c r="AC25" s="2098">
        <f t="shared" si="5"/>
        <v>1</v>
      </c>
    </row>
    <row r="26" spans="1:29" ht="16" x14ac:dyDescent="0.2">
      <c r="A26" s="364"/>
      <c r="B26" s="587"/>
      <c r="C26" s="589"/>
      <c r="D26" s="394"/>
      <c r="E26" s="573"/>
      <c r="F26" s="394"/>
      <c r="G26" s="589"/>
      <c r="H26" s="394"/>
      <c r="I26" s="573"/>
      <c r="J26" s="394"/>
      <c r="K26" s="572"/>
      <c r="L26" s="2900"/>
      <c r="M26" s="2894"/>
      <c r="N26" s="2894"/>
      <c r="O26" s="2894"/>
      <c r="P26" s="3674"/>
      <c r="Q26" s="1486"/>
      <c r="R26" s="713"/>
      <c r="S26" s="714"/>
      <c r="T26" s="713"/>
      <c r="U26" s="714"/>
      <c r="V26" s="713"/>
      <c r="W26" s="714"/>
      <c r="X26" s="1489"/>
      <c r="Y26" s="3667"/>
      <c r="Z26" s="1490"/>
      <c r="AA26" s="1487">
        <v>1</v>
      </c>
      <c r="AB26" s="1487">
        <v>1</v>
      </c>
      <c r="AC26" s="2098">
        <v>1</v>
      </c>
    </row>
    <row r="27" spans="1:29" ht="16" x14ac:dyDescent="0.2">
      <c r="A27" s="387"/>
      <c r="B27" s="587" t="s">
        <v>2239</v>
      </c>
      <c r="C27" s="589"/>
      <c r="D27" s="394">
        <v>100</v>
      </c>
      <c r="E27" s="573"/>
      <c r="F27" s="394">
        <f>SUMIF(89:89,E27,90:90)-SUMIF(89:89,C27,90:90)+100</f>
        <v>100</v>
      </c>
      <c r="G27" s="589"/>
      <c r="H27" s="394">
        <f>SUMIF(89:89,G27,90:90)-SUMIF(89:89,C27,90:90)+100</f>
        <v>100</v>
      </c>
      <c r="I27" s="573"/>
      <c r="J27" s="394">
        <f>SUMIF(89:89,I27,90:90)-SUMIF(89:89,C27,90:90)+100</f>
        <v>100</v>
      </c>
      <c r="K27" s="569"/>
      <c r="L27" s="2900"/>
      <c r="M27" s="2894"/>
      <c r="N27" s="2894"/>
      <c r="O27" s="2894"/>
      <c r="P27" s="3674"/>
      <c r="Q27" s="1486" t="str">
        <f t="shared" ref="Q27:Q47" si="11">B27</f>
        <v>楼层</v>
      </c>
      <c r="R27" s="713" t="s">
        <v>17</v>
      </c>
      <c r="S27" s="714">
        <f>F27</f>
        <v>100</v>
      </c>
      <c r="T27" s="713" t="s">
        <v>17</v>
      </c>
      <c r="U27" s="714">
        <f>H27</f>
        <v>100</v>
      </c>
      <c r="V27" s="713" t="s">
        <v>17</v>
      </c>
      <c r="W27" s="714">
        <f>J27</f>
        <v>100</v>
      </c>
      <c r="X27" s="1489"/>
      <c r="Y27" s="3667"/>
      <c r="Z27" s="1490" t="str">
        <f>Q27</f>
        <v>楼层</v>
      </c>
      <c r="AA27" s="1487">
        <f t="shared" si="3"/>
        <v>1</v>
      </c>
      <c r="AB27" s="1487">
        <f t="shared" si="4"/>
        <v>1</v>
      </c>
      <c r="AC27" s="2098">
        <f t="shared" si="5"/>
        <v>1</v>
      </c>
    </row>
    <row r="28" spans="1:29" s="113" customFormat="1" ht="16" x14ac:dyDescent="0.2">
      <c r="A28" s="390"/>
      <c r="B28" s="586"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674"/>
      <c r="Q28" s="1477" t="str">
        <f t="shared" si="11"/>
        <v>朝向</v>
      </c>
      <c r="R28" s="709" t="s">
        <v>17</v>
      </c>
      <c r="S28" s="710">
        <f>F28</f>
        <v>100</v>
      </c>
      <c r="T28" s="709" t="s">
        <v>17</v>
      </c>
      <c r="U28" s="710">
        <f>H28</f>
        <v>100</v>
      </c>
      <c r="V28" s="709" t="s">
        <v>17</v>
      </c>
      <c r="W28" s="710">
        <f>J28</f>
        <v>100</v>
      </c>
      <c r="X28" s="711"/>
      <c r="Y28" s="3667"/>
      <c r="Z28" s="55" t="str">
        <f>Q28</f>
        <v>朝向</v>
      </c>
      <c r="AA28" s="1487">
        <f>D28/F28</f>
        <v>1</v>
      </c>
      <c r="AB28" s="1487">
        <f>D28/H28</f>
        <v>1</v>
      </c>
      <c r="AC28" s="2098">
        <f>D28/J28</f>
        <v>1</v>
      </c>
    </row>
    <row r="29" spans="1:29" ht="16" x14ac:dyDescent="0.2">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674"/>
      <c r="Q29" s="1486">
        <f t="shared" si="11"/>
        <v>111</v>
      </c>
      <c r="R29" s="713" t="s">
        <v>17</v>
      </c>
      <c r="S29" s="714">
        <f t="shared" ref="S29:S47" si="12">F29</f>
        <v>100</v>
      </c>
      <c r="T29" s="713" t="s">
        <v>17</v>
      </c>
      <c r="U29" s="714">
        <f t="shared" ref="U29:U47" si="13">H29</f>
        <v>100</v>
      </c>
      <c r="V29" s="713" t="s">
        <v>17</v>
      </c>
      <c r="W29" s="714">
        <f t="shared" ref="W29:W47" si="14">J29</f>
        <v>100</v>
      </c>
      <c r="X29" s="1489"/>
      <c r="Y29" s="3667"/>
      <c r="Z29" s="1490">
        <f t="shared" ref="Z29:Z47" si="15">Q29</f>
        <v>111</v>
      </c>
      <c r="AA29" s="1487">
        <f t="shared" si="3"/>
        <v>1</v>
      </c>
      <c r="AB29" s="1487">
        <f t="shared" si="4"/>
        <v>1</v>
      </c>
      <c r="AC29" s="2098">
        <f t="shared" si="5"/>
        <v>1</v>
      </c>
    </row>
    <row r="30" spans="1:29" ht="16" x14ac:dyDescent="0.2">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674"/>
      <c r="Q30" s="1486">
        <f t="shared" si="11"/>
        <v>111</v>
      </c>
      <c r="R30" s="713" t="s">
        <v>17</v>
      </c>
      <c r="S30" s="714">
        <f t="shared" si="12"/>
        <v>100</v>
      </c>
      <c r="T30" s="713" t="s">
        <v>17</v>
      </c>
      <c r="U30" s="714">
        <f t="shared" si="13"/>
        <v>100</v>
      </c>
      <c r="V30" s="713" t="s">
        <v>17</v>
      </c>
      <c r="W30" s="714">
        <f t="shared" si="14"/>
        <v>100</v>
      </c>
      <c r="X30" s="1489"/>
      <c r="Y30" s="3667"/>
      <c r="Z30" s="1490">
        <f t="shared" si="15"/>
        <v>111</v>
      </c>
      <c r="AA30" s="1487">
        <f t="shared" si="3"/>
        <v>1</v>
      </c>
      <c r="AB30" s="1487">
        <f t="shared" si="4"/>
        <v>1</v>
      </c>
      <c r="AC30" s="2098">
        <f t="shared" si="5"/>
        <v>1</v>
      </c>
    </row>
    <row r="31" spans="1:29" ht="16" x14ac:dyDescent="0.2">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674"/>
      <c r="Q31" s="1486">
        <f t="shared" si="11"/>
        <v>111</v>
      </c>
      <c r="R31" s="713" t="s">
        <v>17</v>
      </c>
      <c r="S31" s="714">
        <f t="shared" si="12"/>
        <v>100</v>
      </c>
      <c r="T31" s="713" t="s">
        <v>17</v>
      </c>
      <c r="U31" s="714">
        <f t="shared" si="13"/>
        <v>100</v>
      </c>
      <c r="V31" s="713" t="s">
        <v>17</v>
      </c>
      <c r="W31" s="714">
        <f t="shared" si="14"/>
        <v>100</v>
      </c>
      <c r="X31" s="1489"/>
      <c r="Y31" s="3667"/>
      <c r="Z31" s="1490">
        <f t="shared" si="15"/>
        <v>111</v>
      </c>
      <c r="AA31" s="1487">
        <f t="shared" si="3"/>
        <v>1</v>
      </c>
      <c r="AB31" s="1487">
        <f t="shared" si="4"/>
        <v>1</v>
      </c>
      <c r="AC31" s="2098">
        <f t="shared" si="5"/>
        <v>1</v>
      </c>
    </row>
    <row r="32" spans="1:29" ht="17" thickBot="1" x14ac:dyDescent="0.25">
      <c r="A32" s="395"/>
      <c r="B32" s="590">
        <v>111</v>
      </c>
      <c r="C32" s="2045"/>
      <c r="D32" s="397">
        <v>100</v>
      </c>
      <c r="E32" s="583"/>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674"/>
      <c r="Q32" s="1486">
        <f t="shared" si="11"/>
        <v>111</v>
      </c>
      <c r="R32" s="713" t="s">
        <v>17</v>
      </c>
      <c r="S32" s="714">
        <f t="shared" si="12"/>
        <v>100</v>
      </c>
      <c r="T32" s="713" t="s">
        <v>17</v>
      </c>
      <c r="U32" s="714">
        <f t="shared" si="13"/>
        <v>100</v>
      </c>
      <c r="V32" s="713" t="s">
        <v>17</v>
      </c>
      <c r="W32" s="714">
        <f t="shared" si="14"/>
        <v>100</v>
      </c>
      <c r="X32" s="1489"/>
      <c r="Y32" s="3667"/>
      <c r="Z32" s="1490">
        <f t="shared" si="15"/>
        <v>111</v>
      </c>
      <c r="AA32" s="1487">
        <f t="shared" si="3"/>
        <v>1</v>
      </c>
      <c r="AB32" s="1487">
        <f t="shared" si="4"/>
        <v>1</v>
      </c>
      <c r="AC32" s="2098">
        <f t="shared" si="5"/>
        <v>1</v>
      </c>
    </row>
    <row r="33" spans="1:29" ht="16" x14ac:dyDescent="0.2">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668" t="s">
        <v>2145</v>
      </c>
      <c r="Q33" s="1486" t="str">
        <f t="shared" si="11"/>
        <v>建筑类型</v>
      </c>
      <c r="R33" s="713" t="s">
        <v>17</v>
      </c>
      <c r="S33" s="714">
        <f t="shared" si="12"/>
        <v>100</v>
      </c>
      <c r="T33" s="713" t="s">
        <v>17</v>
      </c>
      <c r="U33" s="714">
        <f t="shared" si="13"/>
        <v>100</v>
      </c>
      <c r="V33" s="713" t="s">
        <v>17</v>
      </c>
      <c r="W33" s="714">
        <f t="shared" si="14"/>
        <v>100</v>
      </c>
      <c r="X33" s="1489"/>
      <c r="Y33" s="3671" t="s">
        <v>2145</v>
      </c>
      <c r="Z33" s="1490" t="str">
        <f t="shared" si="15"/>
        <v>建筑类型</v>
      </c>
      <c r="AA33" s="1487">
        <f t="shared" si="3"/>
        <v>1</v>
      </c>
      <c r="AB33" s="1487">
        <f t="shared" si="4"/>
        <v>1</v>
      </c>
      <c r="AC33" s="2098">
        <f t="shared" si="5"/>
        <v>1</v>
      </c>
    </row>
    <row r="34" spans="1:29" s="430" customFormat="1" ht="16" x14ac:dyDescent="0.2">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669"/>
      <c r="Q34" s="715" t="str">
        <f t="shared" si="11"/>
        <v>项目建筑规模</v>
      </c>
      <c r="R34" s="716" t="s">
        <v>17</v>
      </c>
      <c r="S34" s="717" t="e">
        <f t="shared" si="12"/>
        <v>#N/A</v>
      </c>
      <c r="T34" s="716" t="s">
        <v>17</v>
      </c>
      <c r="U34" s="717" t="e">
        <f t="shared" si="13"/>
        <v>#N/A</v>
      </c>
      <c r="V34" s="716" t="s">
        <v>17</v>
      </c>
      <c r="W34" s="717" t="e">
        <f t="shared" si="14"/>
        <v>#N/A</v>
      </c>
      <c r="X34" s="718"/>
      <c r="Y34" s="3671"/>
      <c r="Z34" s="719" t="str">
        <f t="shared" si="15"/>
        <v>项目建筑规模</v>
      </c>
      <c r="AA34" s="1487" t="e">
        <f t="shared" si="3"/>
        <v>#N/A</v>
      </c>
      <c r="AB34" s="1487" t="e">
        <f t="shared" si="4"/>
        <v>#N/A</v>
      </c>
      <c r="AC34" s="2098" t="e">
        <f t="shared" si="5"/>
        <v>#N/A</v>
      </c>
    </row>
    <row r="35" spans="1:29" ht="16" x14ac:dyDescent="0.2">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669"/>
      <c r="Q35" s="1486" t="str">
        <f t="shared" si="11"/>
        <v>建筑结构</v>
      </c>
      <c r="R35" s="713" t="s">
        <v>17</v>
      </c>
      <c r="S35" s="714">
        <f t="shared" si="12"/>
        <v>100</v>
      </c>
      <c r="T35" s="713" t="s">
        <v>17</v>
      </c>
      <c r="U35" s="714">
        <f t="shared" si="13"/>
        <v>100</v>
      </c>
      <c r="V35" s="713" t="s">
        <v>17</v>
      </c>
      <c r="W35" s="714">
        <f t="shared" si="14"/>
        <v>100</v>
      </c>
      <c r="X35" s="1489"/>
      <c r="Y35" s="3671"/>
      <c r="Z35" s="1490" t="str">
        <f t="shared" si="15"/>
        <v>建筑结构</v>
      </c>
      <c r="AA35" s="1487">
        <f t="shared" si="3"/>
        <v>1</v>
      </c>
      <c r="AB35" s="1487">
        <f t="shared" si="4"/>
        <v>1</v>
      </c>
      <c r="AC35" s="2098">
        <f t="shared" si="5"/>
        <v>1</v>
      </c>
    </row>
    <row r="36" spans="1:29" ht="16" x14ac:dyDescent="0.2">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669"/>
      <c r="Q36" s="1486" t="str">
        <f t="shared" si="11"/>
        <v>公共部分装修</v>
      </c>
      <c r="R36" s="713" t="s">
        <v>17</v>
      </c>
      <c r="S36" s="714">
        <f t="shared" si="12"/>
        <v>100</v>
      </c>
      <c r="T36" s="713" t="s">
        <v>17</v>
      </c>
      <c r="U36" s="714">
        <f t="shared" si="13"/>
        <v>100</v>
      </c>
      <c r="V36" s="713" t="s">
        <v>17</v>
      </c>
      <c r="W36" s="714">
        <f t="shared" si="14"/>
        <v>100</v>
      </c>
      <c r="X36" s="1489"/>
      <c r="Y36" s="3671"/>
      <c r="Z36" s="1490" t="str">
        <f t="shared" si="15"/>
        <v>公共部分装修</v>
      </c>
      <c r="AA36" s="1487">
        <f t="shared" si="3"/>
        <v>1</v>
      </c>
      <c r="AB36" s="1487">
        <f t="shared" si="4"/>
        <v>1</v>
      </c>
      <c r="AC36" s="2098">
        <f t="shared" si="5"/>
        <v>1</v>
      </c>
    </row>
    <row r="37" spans="1:29" ht="16" x14ac:dyDescent="0.2">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669"/>
      <c r="Q37" s="1486" t="str">
        <f t="shared" si="11"/>
        <v>成新度</v>
      </c>
      <c r="R37" s="713" t="s">
        <v>17</v>
      </c>
      <c r="S37" s="714" t="e">
        <f t="shared" si="12"/>
        <v>#N/A</v>
      </c>
      <c r="T37" s="713" t="s">
        <v>17</v>
      </c>
      <c r="U37" s="714" t="e">
        <f t="shared" si="13"/>
        <v>#N/A</v>
      </c>
      <c r="V37" s="713" t="s">
        <v>17</v>
      </c>
      <c r="W37" s="714" t="e">
        <f t="shared" si="14"/>
        <v>#N/A</v>
      </c>
      <c r="X37" s="1489"/>
      <c r="Y37" s="3671"/>
      <c r="Z37" s="1490" t="str">
        <f t="shared" si="15"/>
        <v>成新度</v>
      </c>
      <c r="AA37" s="1487" t="e">
        <f t="shared" si="3"/>
        <v>#N/A</v>
      </c>
      <c r="AB37" s="1487" t="e">
        <f t="shared" si="4"/>
        <v>#N/A</v>
      </c>
      <c r="AC37" s="2098" t="e">
        <f t="shared" si="5"/>
        <v>#N/A</v>
      </c>
    </row>
    <row r="38" spans="1:29" s="113" customFormat="1" ht="16" x14ac:dyDescent="0.2">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669"/>
      <c r="Q38" s="1477" t="str">
        <f t="shared" si="11"/>
        <v>写字楼等级</v>
      </c>
      <c r="R38" s="709" t="s">
        <v>17</v>
      </c>
      <c r="S38" s="710">
        <f t="shared" si="12"/>
        <v>100</v>
      </c>
      <c r="T38" s="709" t="s">
        <v>17</v>
      </c>
      <c r="U38" s="710">
        <f t="shared" si="13"/>
        <v>100</v>
      </c>
      <c r="V38" s="709" t="s">
        <v>17</v>
      </c>
      <c r="W38" s="710">
        <f t="shared" si="14"/>
        <v>100</v>
      </c>
      <c r="X38" s="711"/>
      <c r="Y38" s="3671"/>
      <c r="Z38" s="55" t="str">
        <f t="shared" si="15"/>
        <v>写字楼等级</v>
      </c>
      <c r="AA38" s="712">
        <f t="shared" si="3"/>
        <v>1</v>
      </c>
      <c r="AB38" s="712">
        <f t="shared" si="4"/>
        <v>1</v>
      </c>
      <c r="AC38" s="2095">
        <f t="shared" si="5"/>
        <v>1</v>
      </c>
    </row>
    <row r="39" spans="1:29" ht="16" x14ac:dyDescent="0.2">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669" t="s">
        <v>2145</v>
      </c>
      <c r="Q39" s="1486" t="str">
        <f t="shared" si="11"/>
        <v>物业管理</v>
      </c>
      <c r="R39" s="713" t="s">
        <v>17</v>
      </c>
      <c r="S39" s="714">
        <f t="shared" si="12"/>
        <v>100</v>
      </c>
      <c r="T39" s="713" t="s">
        <v>17</v>
      </c>
      <c r="U39" s="714">
        <f t="shared" si="13"/>
        <v>100</v>
      </c>
      <c r="V39" s="713" t="s">
        <v>17</v>
      </c>
      <c r="W39" s="714">
        <f t="shared" si="14"/>
        <v>100</v>
      </c>
      <c r="X39" s="1489"/>
      <c r="Y39" s="3671" t="s">
        <v>2145</v>
      </c>
      <c r="Z39" s="1490" t="str">
        <f t="shared" si="15"/>
        <v>物业管理</v>
      </c>
      <c r="AA39" s="1487">
        <f t="shared" si="3"/>
        <v>1</v>
      </c>
      <c r="AB39" s="1487">
        <f t="shared" si="4"/>
        <v>1</v>
      </c>
      <c r="AC39" s="2098">
        <f t="shared" si="5"/>
        <v>1</v>
      </c>
    </row>
    <row r="40" spans="1:29" ht="16" x14ac:dyDescent="0.2">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669"/>
      <c r="Q40" s="1486" t="str">
        <f t="shared" si="11"/>
        <v>市政基础设施</v>
      </c>
      <c r="R40" s="713" t="s">
        <v>17</v>
      </c>
      <c r="S40" s="714">
        <f t="shared" si="12"/>
        <v>100</v>
      </c>
      <c r="T40" s="713" t="s">
        <v>17</v>
      </c>
      <c r="U40" s="714">
        <f t="shared" si="13"/>
        <v>100</v>
      </c>
      <c r="V40" s="713" t="s">
        <v>17</v>
      </c>
      <c r="W40" s="714">
        <f t="shared" si="14"/>
        <v>100</v>
      </c>
      <c r="X40" s="1489"/>
      <c r="Y40" s="3671"/>
      <c r="Z40" s="1490" t="str">
        <f t="shared" si="15"/>
        <v>市政基础设施</v>
      </c>
      <c r="AA40" s="1487">
        <f t="shared" si="3"/>
        <v>1</v>
      </c>
      <c r="AB40" s="1487">
        <f t="shared" si="4"/>
        <v>1</v>
      </c>
      <c r="AC40" s="2098">
        <f t="shared" si="5"/>
        <v>1</v>
      </c>
    </row>
    <row r="41" spans="1:29" ht="16" x14ac:dyDescent="0.2">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669"/>
      <c r="Q41" s="1486" t="str">
        <f t="shared" si="11"/>
        <v>层高</v>
      </c>
      <c r="R41" s="713" t="s">
        <v>17</v>
      </c>
      <c r="S41" s="714">
        <f t="shared" si="12"/>
        <v>100</v>
      </c>
      <c r="T41" s="713" t="s">
        <v>17</v>
      </c>
      <c r="U41" s="714">
        <f t="shared" si="13"/>
        <v>100</v>
      </c>
      <c r="V41" s="713" t="s">
        <v>17</v>
      </c>
      <c r="W41" s="714">
        <f t="shared" si="14"/>
        <v>100</v>
      </c>
      <c r="X41" s="1489"/>
      <c r="Y41" s="3671"/>
      <c r="Z41" s="1490" t="str">
        <f t="shared" si="15"/>
        <v>层高</v>
      </c>
      <c r="AA41" s="1487">
        <f t="shared" si="3"/>
        <v>1</v>
      </c>
      <c r="AB41" s="1487">
        <f t="shared" si="4"/>
        <v>1</v>
      </c>
      <c r="AC41" s="2098">
        <f t="shared" si="5"/>
        <v>1</v>
      </c>
    </row>
    <row r="42" spans="1:29" s="430" customFormat="1" ht="16" x14ac:dyDescent="0.2">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669"/>
      <c r="Q42" s="715" t="str">
        <f t="shared" si="11"/>
        <v>单套建筑面积</v>
      </c>
      <c r="R42" s="716" t="s">
        <v>17</v>
      </c>
      <c r="S42" s="717">
        <f t="shared" si="12"/>
        <v>100</v>
      </c>
      <c r="T42" s="716" t="s">
        <v>17</v>
      </c>
      <c r="U42" s="717">
        <f t="shared" si="13"/>
        <v>100</v>
      </c>
      <c r="V42" s="716" t="s">
        <v>17</v>
      </c>
      <c r="W42" s="717">
        <f t="shared" si="14"/>
        <v>100</v>
      </c>
      <c r="X42" s="718"/>
      <c r="Y42" s="3671"/>
      <c r="Z42" s="719" t="str">
        <f t="shared" si="15"/>
        <v>单套建筑面积</v>
      </c>
      <c r="AA42" s="1487">
        <f t="shared" si="3"/>
        <v>1</v>
      </c>
      <c r="AB42" s="1487">
        <f t="shared" si="4"/>
        <v>1</v>
      </c>
      <c r="AC42" s="2098">
        <f t="shared" si="5"/>
        <v>1</v>
      </c>
    </row>
    <row r="43" spans="1:29" ht="16" x14ac:dyDescent="0.2">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669"/>
      <c r="Q43" s="1486" t="str">
        <f t="shared" si="11"/>
        <v>内部装修</v>
      </c>
      <c r="R43" s="713" t="s">
        <v>17</v>
      </c>
      <c r="S43" s="714">
        <f t="shared" si="12"/>
        <v>100</v>
      </c>
      <c r="T43" s="713" t="s">
        <v>17</v>
      </c>
      <c r="U43" s="714">
        <f t="shared" si="13"/>
        <v>100</v>
      </c>
      <c r="V43" s="713" t="s">
        <v>17</v>
      </c>
      <c r="W43" s="714">
        <f t="shared" si="14"/>
        <v>100</v>
      </c>
      <c r="X43" s="1489"/>
      <c r="Y43" s="3671"/>
      <c r="Z43" s="1490" t="str">
        <f t="shared" si="15"/>
        <v>内部装修</v>
      </c>
      <c r="AA43" s="1487">
        <f t="shared" si="3"/>
        <v>1</v>
      </c>
      <c r="AB43" s="1487">
        <f t="shared" si="4"/>
        <v>1</v>
      </c>
      <c r="AC43" s="2098">
        <f t="shared" si="5"/>
        <v>1</v>
      </c>
    </row>
    <row r="44" spans="1:29" ht="16" x14ac:dyDescent="0.2">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669"/>
      <c r="Q44" s="1486" t="str">
        <f t="shared" si="11"/>
        <v>内部装修维护情况</v>
      </c>
      <c r="R44" s="713" t="s">
        <v>17</v>
      </c>
      <c r="S44" s="714">
        <f t="shared" si="12"/>
        <v>100</v>
      </c>
      <c r="T44" s="713" t="s">
        <v>17</v>
      </c>
      <c r="U44" s="714">
        <f t="shared" si="13"/>
        <v>100</v>
      </c>
      <c r="V44" s="713" t="s">
        <v>17</v>
      </c>
      <c r="W44" s="714">
        <f t="shared" si="14"/>
        <v>100</v>
      </c>
      <c r="X44" s="1489"/>
      <c r="Y44" s="3671"/>
      <c r="Z44" s="1490" t="str">
        <f t="shared" si="15"/>
        <v>内部装修维护情况</v>
      </c>
      <c r="AA44" s="1487">
        <f t="shared" si="3"/>
        <v>1</v>
      </c>
      <c r="AB44" s="1487">
        <f t="shared" si="4"/>
        <v>1</v>
      </c>
      <c r="AC44" s="2098">
        <f t="shared" si="5"/>
        <v>1</v>
      </c>
    </row>
    <row r="45" spans="1:29" s="113" customFormat="1" ht="16" x14ac:dyDescent="0.2">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669"/>
      <c r="Q45" s="1477">
        <f t="shared" si="11"/>
        <v>111</v>
      </c>
      <c r="R45" s="709" t="s">
        <v>17</v>
      </c>
      <c r="S45" s="710">
        <f t="shared" si="12"/>
        <v>100</v>
      </c>
      <c r="T45" s="709" t="s">
        <v>17</v>
      </c>
      <c r="U45" s="710">
        <f t="shared" si="13"/>
        <v>100</v>
      </c>
      <c r="V45" s="709" t="s">
        <v>17</v>
      </c>
      <c r="W45" s="710">
        <f t="shared" si="14"/>
        <v>100</v>
      </c>
      <c r="X45" s="711"/>
      <c r="Y45" s="3671"/>
      <c r="Z45" s="55">
        <f t="shared" si="15"/>
        <v>111</v>
      </c>
      <c r="AA45" s="712">
        <f t="shared" si="3"/>
        <v>1</v>
      </c>
      <c r="AB45" s="712">
        <f t="shared" si="4"/>
        <v>1</v>
      </c>
      <c r="AC45" s="2095">
        <f t="shared" si="5"/>
        <v>1</v>
      </c>
    </row>
    <row r="46" spans="1:29" ht="16" x14ac:dyDescent="0.2">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669"/>
      <c r="Q46" s="1486">
        <f t="shared" si="11"/>
        <v>111</v>
      </c>
      <c r="R46" s="713" t="s">
        <v>17</v>
      </c>
      <c r="S46" s="714">
        <f t="shared" si="12"/>
        <v>100</v>
      </c>
      <c r="T46" s="713" t="s">
        <v>17</v>
      </c>
      <c r="U46" s="714">
        <f t="shared" si="13"/>
        <v>100</v>
      </c>
      <c r="V46" s="713" t="s">
        <v>17</v>
      </c>
      <c r="W46" s="714">
        <f t="shared" si="14"/>
        <v>100</v>
      </c>
      <c r="X46" s="1489"/>
      <c r="Y46" s="3671"/>
      <c r="Z46" s="1490">
        <f t="shared" si="15"/>
        <v>111</v>
      </c>
      <c r="AA46" s="1487">
        <f t="shared" si="3"/>
        <v>1</v>
      </c>
      <c r="AB46" s="1487">
        <f t="shared" si="4"/>
        <v>1</v>
      </c>
      <c r="AC46" s="2098">
        <f t="shared" si="5"/>
        <v>1</v>
      </c>
    </row>
    <row r="47" spans="1:29" ht="17" thickBot="1" x14ac:dyDescent="0.25">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670"/>
      <c r="Q47" s="1486">
        <f t="shared" si="11"/>
        <v>111</v>
      </c>
      <c r="R47" s="713" t="s">
        <v>17</v>
      </c>
      <c r="S47" s="714">
        <f t="shared" si="12"/>
        <v>100</v>
      </c>
      <c r="T47" s="713" t="s">
        <v>17</v>
      </c>
      <c r="U47" s="714">
        <f t="shared" si="13"/>
        <v>100</v>
      </c>
      <c r="V47" s="713" t="s">
        <v>17</v>
      </c>
      <c r="W47" s="714">
        <f t="shared" si="14"/>
        <v>100</v>
      </c>
      <c r="X47" s="1489"/>
      <c r="Y47" s="3672"/>
      <c r="Z47" s="1490">
        <f t="shared" si="15"/>
        <v>111</v>
      </c>
      <c r="AA47" s="1487">
        <f t="shared" si="3"/>
        <v>1</v>
      </c>
      <c r="AB47" s="1487">
        <f t="shared" si="4"/>
        <v>1</v>
      </c>
      <c r="AC47" s="2098">
        <f t="shared" si="5"/>
        <v>1</v>
      </c>
    </row>
    <row r="48" spans="1:29" x14ac:dyDescent="0.2">
      <c r="A48" s="438" t="s">
        <v>2157</v>
      </c>
      <c r="B48" s="439"/>
      <c r="C48" s="1268" t="s">
        <v>1</v>
      </c>
      <c r="D48" s="1269"/>
      <c r="E48" s="1270"/>
      <c r="F48" s="1271"/>
      <c r="G48" s="1272"/>
      <c r="H48" s="1273"/>
      <c r="I48" s="1270"/>
      <c r="J48" s="444"/>
      <c r="K48" s="722"/>
      <c r="L48" s="2902"/>
      <c r="M48" s="2894"/>
      <c r="N48" s="2894"/>
      <c r="O48" s="2894"/>
      <c r="P48" s="3675" t="str">
        <f>A48</f>
        <v>成交单价（元/平方米）</v>
      </c>
      <c r="Q48" s="3664"/>
      <c r="R48" s="3665">
        <f>E48</f>
        <v>0</v>
      </c>
      <c r="S48" s="3665"/>
      <c r="T48" s="3665">
        <f>G48</f>
        <v>0</v>
      </c>
      <c r="U48" s="3665"/>
      <c r="V48" s="3665">
        <f>I48</f>
        <v>0</v>
      </c>
      <c r="W48" s="3665"/>
      <c r="X48" s="405"/>
      <c r="Y48" s="720"/>
      <c r="Z48" s="405"/>
      <c r="AA48" s="405"/>
      <c r="AB48" s="405"/>
      <c r="AC48" s="585"/>
    </row>
    <row r="49" spans="1:29" ht="15" thickBot="1" x14ac:dyDescent="0.25">
      <c r="A49" s="445" t="s">
        <v>2249</v>
      </c>
      <c r="B49" s="446"/>
      <c r="C49" s="1274" t="e">
        <f>R50</f>
        <v>#DIV/0!</v>
      </c>
      <c r="D49" s="2488" t="s">
        <v>2639</v>
      </c>
      <c r="E49" s="1275" t="e">
        <f>R49</f>
        <v>#DIV/0!</v>
      </c>
      <c r="F49" s="2489"/>
      <c r="G49" s="1274" t="e">
        <f>T49</f>
        <v>#DIV/0!</v>
      </c>
      <c r="H49" s="2489"/>
      <c r="I49" s="1275" t="e">
        <f>V49</f>
        <v>#DIV/0!</v>
      </c>
      <c r="J49" s="2489"/>
      <c r="K49" s="2491">
        <f>F49+H49+J49</f>
        <v>0</v>
      </c>
      <c r="L49" s="2902"/>
      <c r="M49" s="2894"/>
      <c r="N49" s="2894"/>
      <c r="O49" s="2894"/>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405"/>
      <c r="Y49" s="405"/>
      <c r="Z49" s="405"/>
      <c r="AA49" s="405"/>
      <c r="AB49" s="405"/>
      <c r="AC49" s="585"/>
    </row>
    <row r="50" spans="1:29" ht="15" thickBot="1" x14ac:dyDescent="0.25">
      <c r="A50" s="449" t="s">
        <v>2250</v>
      </c>
      <c r="B50" s="450"/>
      <c r="C50" s="1277" t="e">
        <f>R50</f>
        <v>#DIV/0!</v>
      </c>
      <c r="D50" s="1277"/>
      <c r="E50" s="1277"/>
      <c r="F50" s="1277"/>
      <c r="G50" s="1277"/>
      <c r="H50" s="1277"/>
      <c r="I50" s="1277"/>
      <c r="J50" s="451"/>
      <c r="K50" s="723"/>
      <c r="L50" s="2902"/>
      <c r="M50" s="2894"/>
      <c r="N50" s="2894"/>
      <c r="O50" s="2894"/>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2082"/>
      <c r="Y50" s="2082"/>
      <c r="Z50" s="2082"/>
      <c r="AA50" s="2082"/>
      <c r="AB50" s="2082"/>
      <c r="AC50" s="2083"/>
    </row>
    <row r="51" spans="1:29" x14ac:dyDescent="0.2">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x14ac:dyDescent="0.2">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x14ac:dyDescent="0.2">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x14ac:dyDescent="0.2">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x14ac:dyDescent="0.2">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x14ac:dyDescent="0.2">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x14ac:dyDescent="0.2">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 thickBot="1" x14ac:dyDescent="0.25">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5" customFormat="1" x14ac:dyDescent="0.2">
      <c r="A59" s="462" t="s">
        <v>2128</v>
      </c>
      <c r="B59" s="463"/>
      <c r="C59" s="1298" t="str">
        <f>YEAR(C7)&amp;"-"&amp;MONTH(C7)</f>
        <v>2022-11</v>
      </c>
      <c r="D59" s="1299">
        <f>EDATE(C59,-1)</f>
        <v>44835</v>
      </c>
      <c r="E59" s="1299">
        <f>EDATE(D59,-1)</f>
        <v>44805</v>
      </c>
      <c r="F59" s="1299">
        <f t="shared" ref="F59:O59" si="16">EDATE(E59,-1)</f>
        <v>44774</v>
      </c>
      <c r="G59" s="1299">
        <f t="shared" si="16"/>
        <v>44743</v>
      </c>
      <c r="H59" s="1299">
        <f t="shared" si="16"/>
        <v>44713</v>
      </c>
      <c r="I59" s="1299">
        <f t="shared" si="16"/>
        <v>44682</v>
      </c>
      <c r="J59" s="1299">
        <f t="shared" si="16"/>
        <v>44652</v>
      </c>
      <c r="K59" s="1299">
        <f t="shared" si="16"/>
        <v>44621</v>
      </c>
      <c r="L59" s="1299">
        <f t="shared" si="16"/>
        <v>44593</v>
      </c>
      <c r="M59" s="1299">
        <f t="shared" si="16"/>
        <v>44562</v>
      </c>
      <c r="N59" s="1299">
        <f t="shared" si="16"/>
        <v>44531</v>
      </c>
      <c r="O59" s="1299">
        <f t="shared" si="16"/>
        <v>44501</v>
      </c>
      <c r="P59" s="2937"/>
      <c r="Q59" s="2919"/>
      <c r="R59" s="2919"/>
      <c r="S59" s="2919"/>
      <c r="T59" s="2919"/>
      <c r="U59" s="2919"/>
      <c r="V59" s="2919"/>
      <c r="W59" s="2919"/>
      <c r="X59" s="2919"/>
      <c r="Y59" s="2919"/>
      <c r="Z59" s="2919"/>
      <c r="AA59" s="2919"/>
      <c r="AB59" s="2919"/>
      <c r="AC59" s="2919"/>
    </row>
    <row r="60" spans="1:29" s="113" customFormat="1" x14ac:dyDescent="0.2">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 thickBot="1" x14ac:dyDescent="0.25">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x14ac:dyDescent="0.2">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 thickBot="1" x14ac:dyDescent="0.25">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x14ac:dyDescent="0.2">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 thickBot="1" x14ac:dyDescent="0.25">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9" thickTop="1" x14ac:dyDescent="0.2">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 thickBot="1" x14ac:dyDescent="0.25">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 thickTop="1" x14ac:dyDescent="0.2">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x14ac:dyDescent="0.2">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 thickBot="1" x14ac:dyDescent="0.25">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 thickTop="1" x14ac:dyDescent="0.2">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 thickBot="1" x14ac:dyDescent="0.25">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 thickTop="1" x14ac:dyDescent="0.2">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 thickBot="1" x14ac:dyDescent="0.25">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 thickTop="1" x14ac:dyDescent="0.2">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 thickBot="1" x14ac:dyDescent="0.25">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x14ac:dyDescent="0.2">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 thickBot="1" x14ac:dyDescent="0.25">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 thickTop="1" x14ac:dyDescent="0.2">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 thickBot="1" x14ac:dyDescent="0.25">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 thickTop="1" x14ac:dyDescent="0.2">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 thickBot="1" x14ac:dyDescent="0.25">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 thickTop="1" x14ac:dyDescent="0.2">
      <c r="A83" s="491"/>
      <c r="B83" s="503" t="s">
        <v>2269</v>
      </c>
      <c r="C83" s="615" t="s">
        <v>2255</v>
      </c>
      <c r="D83" s="615" t="s">
        <v>2256</v>
      </c>
      <c r="E83" s="615" t="s">
        <v>2257</v>
      </c>
      <c r="F83" s="615" t="s">
        <v>2258</v>
      </c>
      <c r="G83" s="615" t="s">
        <v>2259</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 thickBot="1" x14ac:dyDescent="0.25">
      <c r="A84" s="491"/>
      <c r="B84" s="503"/>
      <c r="C84" s="501">
        <v>100</v>
      </c>
      <c r="D84" s="501">
        <f>C84-$K21</f>
        <v>100</v>
      </c>
      <c r="E84" s="501">
        <f>D84-$K21</f>
        <v>100</v>
      </c>
      <c r="F84" s="501">
        <f>E84-$K21</f>
        <v>100</v>
      </c>
      <c r="G84" s="501">
        <f>F84-$K21</f>
        <v>100</v>
      </c>
      <c r="H84" s="615"/>
      <c r="I84" s="615"/>
      <c r="J84" s="615"/>
      <c r="K84" s="615"/>
      <c r="L84" s="615"/>
      <c r="M84" s="409"/>
      <c r="N84" s="2932"/>
      <c r="O84" s="2932"/>
      <c r="P84" s="2940"/>
      <c r="Q84" s="2917"/>
      <c r="R84" s="2903"/>
      <c r="S84" s="2903"/>
      <c r="T84" s="2903"/>
      <c r="U84" s="2903"/>
      <c r="V84" s="2903"/>
      <c r="W84" s="2903"/>
      <c r="X84" s="2903"/>
      <c r="Y84" s="2903"/>
      <c r="Z84" s="2903"/>
      <c r="AA84" s="2903"/>
      <c r="AB84" s="2903"/>
      <c r="AC84" s="2903"/>
    </row>
    <row r="85" spans="1:29" ht="15" thickTop="1" x14ac:dyDescent="0.2">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 thickBot="1" x14ac:dyDescent="0.25">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9" thickTop="1" x14ac:dyDescent="0.2">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 thickBot="1" x14ac:dyDescent="0.25">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 thickTop="1" x14ac:dyDescent="0.2">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 thickBot="1" x14ac:dyDescent="0.25">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 thickTop="1" x14ac:dyDescent="0.2">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 thickBot="1" x14ac:dyDescent="0.25">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 thickTop="1" x14ac:dyDescent="0.2">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 thickBot="1" x14ac:dyDescent="0.25">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 thickTop="1" x14ac:dyDescent="0.2">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 thickBot="1" x14ac:dyDescent="0.25">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 thickTop="1" x14ac:dyDescent="0.2">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 thickBot="1" x14ac:dyDescent="0.25">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 thickTop="1" x14ac:dyDescent="0.2">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 thickBot="1" x14ac:dyDescent="0.25">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x14ac:dyDescent="0.2">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 thickBot="1" x14ac:dyDescent="0.25">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 thickTop="1" x14ac:dyDescent="0.2">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x14ac:dyDescent="0.2">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 thickBot="1" x14ac:dyDescent="0.25">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x14ac:dyDescent="0.2">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 thickBot="1" x14ac:dyDescent="0.25">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x14ac:dyDescent="0.2">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 thickBot="1" x14ac:dyDescent="0.25">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x14ac:dyDescent="0.2">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x14ac:dyDescent="0.2">
      <c r="A111" s="556"/>
      <c r="B111" s="503"/>
      <c r="C111" s="560">
        <v>0.5</v>
      </c>
      <c r="D111" s="560">
        <v>0.6</v>
      </c>
      <c r="E111" s="560">
        <v>0.7</v>
      </c>
      <c r="F111" s="560">
        <v>0.8</v>
      </c>
      <c r="G111" s="560">
        <v>0.9</v>
      </c>
      <c r="H111" s="560">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 thickBot="1" x14ac:dyDescent="0.25">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x14ac:dyDescent="0.2">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 thickBot="1" x14ac:dyDescent="0.25">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x14ac:dyDescent="0.2">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 thickBot="1" x14ac:dyDescent="0.25">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x14ac:dyDescent="0.2">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 thickBot="1" x14ac:dyDescent="0.25">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x14ac:dyDescent="0.2">
      <c r="A119" s="556"/>
      <c r="B119" s="591"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 thickBot="1" x14ac:dyDescent="0.25">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x14ac:dyDescent="0.2">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 thickBot="1" x14ac:dyDescent="0.25">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x14ac:dyDescent="0.2">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 thickBot="1" x14ac:dyDescent="0.25">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x14ac:dyDescent="0.2">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 thickBot="1" x14ac:dyDescent="0.25">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x14ac:dyDescent="0.2">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 thickBot="1" x14ac:dyDescent="0.25">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x14ac:dyDescent="0.2">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 thickBot="1" x14ac:dyDescent="0.25">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x14ac:dyDescent="0.2">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 thickBot="1" x14ac:dyDescent="0.25">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view="pageBreakPreview" topLeftCell="A4" zoomScale="60" zoomScaleNormal="60" workbookViewId="0">
      <selection activeCell="F7" sqref="F7:F40"/>
    </sheetView>
  </sheetViews>
  <sheetFormatPr baseColWidth="10" defaultColWidth="9" defaultRowHeight="14" x14ac:dyDescent="0.2"/>
  <cols>
    <col min="1" max="1" width="10.5" style="363" customWidth="1"/>
    <col min="2" max="2" width="15.66406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363"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353" customFormat="1" ht="28.5" customHeight="1" thickBot="1" x14ac:dyDescent="0.25">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x14ac:dyDescent="0.2">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x14ac:dyDescent="0.25">
      <c r="A3" s="209" t="s">
        <v>1909</v>
      </c>
      <c r="B3" s="566" t="e">
        <f ca="1">IF(C2="——",C43,ROUND(B2*10000/D3,0))</f>
        <v>#DIV/0!</v>
      </c>
      <c r="C3" s="360" t="s">
        <v>2224</v>
      </c>
      <c r="D3" s="359">
        <f>IF(D1="",'数据-汇总表'!E3,SUMIF('数据-汇总表'!$C19:$C33,D1,'数据-汇总表'!$E19:$E33))</f>
        <v>58.81</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x14ac:dyDescent="0.2">
      <c r="A4" s="361" t="s">
        <v>2225</v>
      </c>
      <c r="B4" s="362"/>
      <c r="C4" s="3679" t="s">
        <v>2226</v>
      </c>
      <c r="D4" s="3680"/>
      <c r="E4" s="3681" t="s">
        <v>2227</v>
      </c>
      <c r="F4" s="3682"/>
      <c r="G4" s="3679" t="s">
        <v>2228</v>
      </c>
      <c r="H4" s="3680"/>
      <c r="I4" s="3679" t="s">
        <v>2229</v>
      </c>
      <c r="J4" s="3680"/>
      <c r="K4" s="567" t="s">
        <v>2230</v>
      </c>
      <c r="L4" s="1024"/>
      <c r="M4" s="1025"/>
      <c r="N4" s="1025"/>
      <c r="O4" s="1025"/>
      <c r="P4" s="3683" t="s">
        <v>2231</v>
      </c>
      <c r="Q4" s="3684"/>
      <c r="R4" s="3689" t="s">
        <v>2227</v>
      </c>
      <c r="S4" s="3690"/>
      <c r="T4" s="3689" t="s">
        <v>2228</v>
      </c>
      <c r="U4" s="3690"/>
      <c r="V4" s="3695" t="s">
        <v>2229</v>
      </c>
      <c r="W4" s="3695"/>
      <c r="X4" s="1489"/>
      <c r="Y4" s="3689" t="s">
        <v>2231</v>
      </c>
      <c r="Z4" s="3690"/>
      <c r="AA4" s="3676" t="s">
        <v>2227</v>
      </c>
      <c r="AB4" s="3677" t="s">
        <v>2228</v>
      </c>
      <c r="AC4" s="3676" t="s">
        <v>2229</v>
      </c>
    </row>
    <row r="5" spans="1:29" x14ac:dyDescent="0.2">
      <c r="A5" s="364"/>
      <c r="B5" s="365"/>
      <c r="C5" s="3698" t="s">
        <v>2122</v>
      </c>
      <c r="D5" s="3699"/>
      <c r="E5" s="3705" t="s">
        <v>2123</v>
      </c>
      <c r="F5" s="3706"/>
      <c r="G5" s="3698" t="s">
        <v>2124</v>
      </c>
      <c r="H5" s="3699"/>
      <c r="I5" s="3698" t="s">
        <v>2125</v>
      </c>
      <c r="J5" s="3699"/>
      <c r="K5" s="567"/>
      <c r="L5" s="1024"/>
      <c r="M5" s="1025"/>
      <c r="N5" s="1025"/>
      <c r="O5" s="1025"/>
      <c r="P5" s="3685"/>
      <c r="Q5" s="3686"/>
      <c r="R5" s="3691"/>
      <c r="S5" s="3692"/>
      <c r="T5" s="3691"/>
      <c r="U5" s="3692"/>
      <c r="V5" s="3695"/>
      <c r="W5" s="3695"/>
      <c r="X5" s="1489"/>
      <c r="Y5" s="3691"/>
      <c r="Z5" s="3692"/>
      <c r="AA5" s="3677"/>
      <c r="AB5" s="3677"/>
      <c r="AC5" s="3677"/>
    </row>
    <row r="6" spans="1:29" ht="15" thickBot="1" x14ac:dyDescent="0.25">
      <c r="A6" s="366"/>
      <c r="B6" s="367"/>
      <c r="C6" s="3696" t="s">
        <v>2126</v>
      </c>
      <c r="D6" s="3697"/>
      <c r="E6" s="3703" t="s">
        <v>2126</v>
      </c>
      <c r="F6" s="3704"/>
      <c r="G6" s="3696" t="s">
        <v>2126</v>
      </c>
      <c r="H6" s="3697"/>
      <c r="I6" s="3696" t="s">
        <v>2126</v>
      </c>
      <c r="J6" s="3697"/>
      <c r="K6" s="567" t="s">
        <v>2127</v>
      </c>
      <c r="L6" s="1024"/>
      <c r="M6" s="1025"/>
      <c r="N6" s="1025"/>
      <c r="O6" s="1025"/>
      <c r="P6" s="3687"/>
      <c r="Q6" s="3688"/>
      <c r="R6" s="3691"/>
      <c r="S6" s="3692"/>
      <c r="T6" s="3693"/>
      <c r="U6" s="3694"/>
      <c r="V6" s="3695"/>
      <c r="W6" s="3695"/>
      <c r="X6" s="1489"/>
      <c r="Y6" s="3693"/>
      <c r="Z6" s="3694"/>
      <c r="AA6" s="3678"/>
      <c r="AB6" s="3678"/>
      <c r="AC6" s="3678"/>
    </row>
    <row r="7" spans="1:29" s="113" customFormat="1" ht="15" thickBot="1" x14ac:dyDescent="0.25">
      <c r="A7" s="368" t="s">
        <v>2128</v>
      </c>
      <c r="B7" s="369"/>
      <c r="C7" s="370">
        <f>'数据-取费表'!B2</f>
        <v>44868</v>
      </c>
      <c r="D7" s="371">
        <v>100</v>
      </c>
      <c r="E7" s="372"/>
      <c r="F7" s="373">
        <f>SUMIF(52:52,YEAR(E7)&amp;"-"&amp;MONTH(E7),53:53)</f>
        <v>0</v>
      </c>
      <c r="G7" s="372"/>
      <c r="H7" s="371">
        <f>SUMIF(52:52,YEAR(G7)&amp;"-"&amp;MONTH(G7),53:53)</f>
        <v>0</v>
      </c>
      <c r="I7" s="372"/>
      <c r="J7" s="371">
        <f>SUMIF(52:52,YEAR(I7)&amp;"-"&amp;MONTH(I7),53:53)</f>
        <v>0</v>
      </c>
      <c r="K7" s="568"/>
      <c r="L7" s="1026"/>
      <c r="M7" s="1027"/>
      <c r="N7" s="1027"/>
      <c r="O7" s="1027"/>
      <c r="P7" s="3700" t="s">
        <v>2129</v>
      </c>
      <c r="Q7" s="3702"/>
      <c r="R7" s="709" t="s">
        <v>17</v>
      </c>
      <c r="S7" s="710">
        <f t="shared" ref="S7:S15" si="0">F7</f>
        <v>0</v>
      </c>
      <c r="T7" s="709" t="s">
        <v>17</v>
      </c>
      <c r="U7" s="710">
        <f t="shared" ref="U7:U15" si="1">H7</f>
        <v>0</v>
      </c>
      <c r="V7" s="709" t="s">
        <v>17</v>
      </c>
      <c r="W7" s="710">
        <f t="shared" ref="W7:W15" si="2">J7</f>
        <v>0</v>
      </c>
      <c r="X7" s="711"/>
      <c r="Y7" s="3700" t="s">
        <v>2129</v>
      </c>
      <c r="Z7" s="3701"/>
      <c r="AA7" s="712" t="e">
        <f>D7/F7</f>
        <v>#DIV/0!</v>
      </c>
      <c r="AB7" s="712" t="e">
        <f>D7/H7</f>
        <v>#DIV/0!</v>
      </c>
      <c r="AC7" s="712" t="e">
        <f>D7/J7</f>
        <v>#DIV/0!</v>
      </c>
    </row>
    <row r="8" spans="1:29" s="113" customFormat="1" ht="15" thickBot="1" x14ac:dyDescent="0.25">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700" t="s">
        <v>2132</v>
      </c>
      <c r="Q8" s="3701"/>
      <c r="R8" s="709" t="s">
        <v>17</v>
      </c>
      <c r="S8" s="710">
        <f t="shared" si="0"/>
        <v>0</v>
      </c>
      <c r="T8" s="709" t="s">
        <v>17</v>
      </c>
      <c r="U8" s="710">
        <f t="shared" si="1"/>
        <v>0</v>
      </c>
      <c r="V8" s="709" t="s">
        <v>17</v>
      </c>
      <c r="W8" s="710">
        <f t="shared" si="2"/>
        <v>0</v>
      </c>
      <c r="X8" s="711"/>
      <c r="Y8" s="3700" t="s">
        <v>2132</v>
      </c>
      <c r="Z8" s="3701"/>
      <c r="AA8" s="712" t="e">
        <f t="shared" ref="AA8:AA40" si="3">D8/F8</f>
        <v>#DIV/0!</v>
      </c>
      <c r="AB8" s="712" t="e">
        <f t="shared" ref="AB8:AB40" si="4">D8/H8</f>
        <v>#DIV/0!</v>
      </c>
      <c r="AC8" s="712" t="e">
        <f t="shared" ref="AC8:AC40" si="5">D8/J8</f>
        <v>#DIV/0!</v>
      </c>
    </row>
    <row r="9" spans="1:29" s="113" customFormat="1" x14ac:dyDescent="0.2">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664" t="s">
        <v>2135</v>
      </c>
      <c r="Q9" s="1477" t="str">
        <f t="shared" ref="Q9:Q15" si="6">B9</f>
        <v>用途</v>
      </c>
      <c r="R9" s="709" t="s">
        <v>17</v>
      </c>
      <c r="S9" s="710">
        <f t="shared" si="0"/>
        <v>100</v>
      </c>
      <c r="T9" s="709" t="s">
        <v>17</v>
      </c>
      <c r="U9" s="710">
        <f t="shared" si="1"/>
        <v>100</v>
      </c>
      <c r="V9" s="709" t="s">
        <v>17</v>
      </c>
      <c r="W9" s="710">
        <f t="shared" si="2"/>
        <v>100</v>
      </c>
      <c r="X9" s="711"/>
      <c r="Y9" s="3536" t="s">
        <v>2136</v>
      </c>
      <c r="Z9" s="55" t="str">
        <f t="shared" ref="Z9:Z15" si="7">Q9</f>
        <v>用途</v>
      </c>
      <c r="AA9" s="712">
        <f t="shared" si="3"/>
        <v>1</v>
      </c>
      <c r="AB9" s="712">
        <f t="shared" si="4"/>
        <v>1</v>
      </c>
      <c r="AC9" s="712">
        <f t="shared" si="5"/>
        <v>1</v>
      </c>
    </row>
    <row r="10" spans="1:29" s="386" customFormat="1" ht="28" x14ac:dyDescent="0.2">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664"/>
      <c r="Q10" s="1477" t="str">
        <f t="shared" si="6"/>
        <v>土地使用年限（年）</v>
      </c>
      <c r="R10" s="709" t="s">
        <v>17</v>
      </c>
      <c r="S10" s="710">
        <f t="shared" si="0"/>
        <v>100</v>
      </c>
      <c r="T10" s="709" t="s">
        <v>17</v>
      </c>
      <c r="U10" s="710">
        <f t="shared" si="1"/>
        <v>100</v>
      </c>
      <c r="V10" s="709" t="s">
        <v>17</v>
      </c>
      <c r="W10" s="710">
        <f t="shared" si="2"/>
        <v>100</v>
      </c>
      <c r="X10" s="711"/>
      <c r="Y10" s="3536"/>
      <c r="Z10" s="55" t="str">
        <f t="shared" si="7"/>
        <v>土地使用年限（年）</v>
      </c>
      <c r="AA10" s="712">
        <f t="shared" si="3"/>
        <v>1</v>
      </c>
      <c r="AB10" s="712">
        <f t="shared" si="4"/>
        <v>1</v>
      </c>
      <c r="AC10" s="712">
        <f t="shared" si="5"/>
        <v>1</v>
      </c>
    </row>
    <row r="11" spans="1:29" ht="16" x14ac:dyDescent="0.2">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664"/>
      <c r="Q11" s="1477" t="str">
        <f t="shared" si="6"/>
        <v>容积率</v>
      </c>
      <c r="R11" s="709" t="s">
        <v>17</v>
      </c>
      <c r="S11" s="710" t="e">
        <f t="shared" si="0"/>
        <v>#N/A</v>
      </c>
      <c r="T11" s="709" t="s">
        <v>17</v>
      </c>
      <c r="U11" s="710" t="e">
        <f t="shared" si="1"/>
        <v>#N/A</v>
      </c>
      <c r="V11" s="709" t="s">
        <v>17</v>
      </c>
      <c r="W11" s="710" t="e">
        <f t="shared" si="2"/>
        <v>#N/A</v>
      </c>
      <c r="X11" s="711"/>
      <c r="Y11" s="3536"/>
      <c r="Z11" s="55" t="str">
        <f t="shared" si="7"/>
        <v>容积率</v>
      </c>
      <c r="AA11" s="712" t="e">
        <f t="shared" si="3"/>
        <v>#N/A</v>
      </c>
      <c r="AB11" s="712" t="e">
        <f t="shared" si="4"/>
        <v>#N/A</v>
      </c>
      <c r="AC11" s="712" t="e">
        <f t="shared" si="5"/>
        <v>#N/A</v>
      </c>
    </row>
    <row r="12" spans="1:29" s="113" customFormat="1" ht="16" x14ac:dyDescent="0.2">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664"/>
      <c r="Q12" s="1477">
        <f t="shared" si="6"/>
        <v>111</v>
      </c>
      <c r="R12" s="709" t="s">
        <v>17</v>
      </c>
      <c r="S12" s="710">
        <f t="shared" si="0"/>
        <v>100</v>
      </c>
      <c r="T12" s="709" t="s">
        <v>17</v>
      </c>
      <c r="U12" s="710">
        <f t="shared" si="1"/>
        <v>100</v>
      </c>
      <c r="V12" s="709" t="s">
        <v>17</v>
      </c>
      <c r="W12" s="710">
        <f t="shared" si="2"/>
        <v>100</v>
      </c>
      <c r="X12" s="711"/>
      <c r="Y12" s="3536"/>
      <c r="Z12" s="55">
        <f t="shared" si="7"/>
        <v>111</v>
      </c>
      <c r="AA12" s="712">
        <f>D12/F12</f>
        <v>1</v>
      </c>
      <c r="AB12" s="712">
        <f>D12/H12</f>
        <v>1</v>
      </c>
      <c r="AC12" s="712">
        <f>D12/J12</f>
        <v>1</v>
      </c>
    </row>
    <row r="13" spans="1:29" ht="16" x14ac:dyDescent="0.2">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664"/>
      <c r="Q13" s="1477">
        <f t="shared" si="6"/>
        <v>111</v>
      </c>
      <c r="R13" s="709" t="s">
        <v>17</v>
      </c>
      <c r="S13" s="710">
        <f t="shared" si="0"/>
        <v>100</v>
      </c>
      <c r="T13" s="709" t="s">
        <v>17</v>
      </c>
      <c r="U13" s="710">
        <f t="shared" si="1"/>
        <v>100</v>
      </c>
      <c r="V13" s="709" t="s">
        <v>17</v>
      </c>
      <c r="W13" s="710">
        <f t="shared" si="2"/>
        <v>100</v>
      </c>
      <c r="X13" s="711"/>
      <c r="Y13" s="3536"/>
      <c r="Z13" s="55">
        <f t="shared" si="7"/>
        <v>111</v>
      </c>
      <c r="AA13" s="712">
        <f t="shared" si="3"/>
        <v>1</v>
      </c>
      <c r="AB13" s="712">
        <f t="shared" si="4"/>
        <v>1</v>
      </c>
      <c r="AC13" s="712">
        <f t="shared" si="5"/>
        <v>1</v>
      </c>
    </row>
    <row r="14" spans="1:29" ht="17" thickBot="1" x14ac:dyDescent="0.25">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664"/>
      <c r="Q14" s="1477">
        <f t="shared" si="6"/>
        <v>111</v>
      </c>
      <c r="R14" s="709" t="s">
        <v>17</v>
      </c>
      <c r="S14" s="710">
        <f t="shared" si="0"/>
        <v>100</v>
      </c>
      <c r="T14" s="709" t="s">
        <v>17</v>
      </c>
      <c r="U14" s="710">
        <f t="shared" si="1"/>
        <v>100</v>
      </c>
      <c r="V14" s="709" t="s">
        <v>17</v>
      </c>
      <c r="W14" s="710">
        <f t="shared" si="2"/>
        <v>100</v>
      </c>
      <c r="X14" s="711"/>
      <c r="Y14" s="3536"/>
      <c r="Z14" s="55">
        <f t="shared" si="7"/>
        <v>111</v>
      </c>
      <c r="AA14" s="712">
        <f t="shared" si="3"/>
        <v>1</v>
      </c>
      <c r="AB14" s="712">
        <f t="shared" si="4"/>
        <v>1</v>
      </c>
      <c r="AC14" s="712">
        <f t="shared" si="5"/>
        <v>1</v>
      </c>
    </row>
    <row r="15" spans="1:29" ht="56" x14ac:dyDescent="0.2">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666" t="s">
        <v>2140</v>
      </c>
      <c r="Q15" s="1486" t="str">
        <f t="shared" si="6"/>
        <v>产业集聚程度</v>
      </c>
      <c r="R15" s="713" t="s">
        <v>17</v>
      </c>
      <c r="S15" s="714">
        <f t="shared" si="0"/>
        <v>100</v>
      </c>
      <c r="T15" s="713" t="s">
        <v>17</v>
      </c>
      <c r="U15" s="714">
        <f t="shared" si="1"/>
        <v>100</v>
      </c>
      <c r="V15" s="713" t="s">
        <v>17</v>
      </c>
      <c r="W15" s="714">
        <f t="shared" si="2"/>
        <v>100</v>
      </c>
      <c r="X15" s="1489"/>
      <c r="Y15" s="3666" t="s">
        <v>2140</v>
      </c>
      <c r="Z15" s="1490" t="str">
        <f t="shared" si="7"/>
        <v>产业集聚程度</v>
      </c>
      <c r="AA15" s="1487">
        <f t="shared" si="3"/>
        <v>1</v>
      </c>
      <c r="AB15" s="1487">
        <f t="shared" si="4"/>
        <v>1</v>
      </c>
      <c r="AC15" s="1487">
        <f t="shared" si="5"/>
        <v>1</v>
      </c>
    </row>
    <row r="16" spans="1:29" ht="16" x14ac:dyDescent="0.2">
      <c r="A16" s="387"/>
      <c r="B16" s="405"/>
      <c r="C16" s="406"/>
      <c r="D16" s="407"/>
      <c r="E16" s="406"/>
      <c r="F16" s="408"/>
      <c r="G16" s="406"/>
      <c r="H16" s="409"/>
      <c r="I16" s="406"/>
      <c r="J16" s="407"/>
      <c r="K16" s="572"/>
      <c r="L16" s="1034"/>
      <c r="M16" s="1025"/>
      <c r="N16" s="1025"/>
      <c r="O16" s="1033"/>
      <c r="P16" s="3667"/>
      <c r="Q16" s="1486"/>
      <c r="R16" s="713"/>
      <c r="S16" s="714"/>
      <c r="T16" s="713"/>
      <c r="U16" s="714"/>
      <c r="V16" s="713"/>
      <c r="W16" s="714"/>
      <c r="X16" s="1489"/>
      <c r="Y16" s="3667"/>
      <c r="Z16" s="1490"/>
      <c r="AA16" s="1487">
        <v>1</v>
      </c>
      <c r="AB16" s="1487">
        <v>1</v>
      </c>
      <c r="AC16" s="1487">
        <v>1</v>
      </c>
    </row>
    <row r="17" spans="1:29" ht="84" x14ac:dyDescent="0.2">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667"/>
      <c r="Q17" s="1486" t="str">
        <f>B17</f>
        <v>交通便捷度</v>
      </c>
      <c r="R17" s="713" t="s">
        <v>17</v>
      </c>
      <c r="S17" s="714">
        <f>F17</f>
        <v>100</v>
      </c>
      <c r="T17" s="713" t="s">
        <v>17</v>
      </c>
      <c r="U17" s="714">
        <f>H17</f>
        <v>100</v>
      </c>
      <c r="V17" s="713" t="s">
        <v>17</v>
      </c>
      <c r="W17" s="714">
        <f>J17</f>
        <v>100</v>
      </c>
      <c r="X17" s="1489"/>
      <c r="Y17" s="3667"/>
      <c r="Z17" s="1490" t="str">
        <f>Q17</f>
        <v>交通便捷度</v>
      </c>
      <c r="AA17" s="1487">
        <f t="shared" si="3"/>
        <v>1</v>
      </c>
      <c r="AB17" s="1487">
        <f t="shared" si="4"/>
        <v>1</v>
      </c>
      <c r="AC17" s="1487">
        <f t="shared" si="5"/>
        <v>1</v>
      </c>
    </row>
    <row r="18" spans="1:29" ht="16" x14ac:dyDescent="0.2">
      <c r="A18" s="387"/>
      <c r="B18" s="415"/>
      <c r="C18" s="2037"/>
      <c r="D18" s="409"/>
      <c r="E18" s="2039"/>
      <c r="F18" s="412"/>
      <c r="G18" s="2038"/>
      <c r="H18" s="407"/>
      <c r="I18" s="2039"/>
      <c r="J18" s="407"/>
      <c r="K18" s="572"/>
      <c r="L18" s="1034"/>
      <c r="M18" s="1025"/>
      <c r="N18" s="1025"/>
      <c r="O18" s="1033"/>
      <c r="P18" s="3667"/>
      <c r="Q18" s="1486"/>
      <c r="R18" s="713"/>
      <c r="S18" s="714"/>
      <c r="T18" s="713"/>
      <c r="U18" s="714"/>
      <c r="V18" s="713"/>
      <c r="W18" s="714"/>
      <c r="X18" s="1489"/>
      <c r="Y18" s="3667"/>
      <c r="Z18" s="1490"/>
      <c r="AA18" s="1487">
        <v>1</v>
      </c>
      <c r="AB18" s="1487">
        <v>1</v>
      </c>
      <c r="AC18" s="1487">
        <v>1</v>
      </c>
    </row>
    <row r="19" spans="1:29" ht="42" x14ac:dyDescent="0.2">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667"/>
      <c r="Q19" s="1486" t="str">
        <f>B19</f>
        <v>公共配套设施</v>
      </c>
      <c r="R19" s="713" t="s">
        <v>17</v>
      </c>
      <c r="S19" s="714">
        <f>F19</f>
        <v>100</v>
      </c>
      <c r="T19" s="713" t="s">
        <v>17</v>
      </c>
      <c r="U19" s="714">
        <f>H19</f>
        <v>100</v>
      </c>
      <c r="V19" s="713" t="s">
        <v>17</v>
      </c>
      <c r="W19" s="714">
        <f>J19</f>
        <v>100</v>
      </c>
      <c r="X19" s="1489"/>
      <c r="Y19" s="3667"/>
      <c r="Z19" s="1490" t="str">
        <f>Q19</f>
        <v>公共配套设施</v>
      </c>
      <c r="AA19" s="1487">
        <f t="shared" si="3"/>
        <v>1</v>
      </c>
      <c r="AB19" s="1487">
        <f t="shared" si="4"/>
        <v>1</v>
      </c>
      <c r="AC19" s="1487">
        <f t="shared" si="5"/>
        <v>1</v>
      </c>
    </row>
    <row r="20" spans="1:29" ht="16" x14ac:dyDescent="0.2">
      <c r="A20" s="387"/>
      <c r="B20" s="415"/>
      <c r="C20" s="406"/>
      <c r="D20" s="407"/>
      <c r="E20" s="2034"/>
      <c r="F20" s="408"/>
      <c r="G20" s="2033"/>
      <c r="H20" s="407"/>
      <c r="I20" s="2034"/>
      <c r="J20" s="407"/>
      <c r="K20" s="572"/>
      <c r="L20" s="1034"/>
      <c r="M20" s="1025"/>
      <c r="N20" s="1025"/>
      <c r="O20" s="1033"/>
      <c r="P20" s="3667"/>
      <c r="Q20" s="1486"/>
      <c r="R20" s="713"/>
      <c r="S20" s="714"/>
      <c r="T20" s="713"/>
      <c r="U20" s="714"/>
      <c r="V20" s="713"/>
      <c r="W20" s="714"/>
      <c r="X20" s="1489"/>
      <c r="Y20" s="3667"/>
      <c r="Z20" s="1490"/>
      <c r="AA20" s="1487">
        <v>1</v>
      </c>
      <c r="AB20" s="1487">
        <v>1</v>
      </c>
      <c r="AC20" s="1487">
        <v>1</v>
      </c>
    </row>
    <row r="21" spans="1:29" ht="28" x14ac:dyDescent="0.2">
      <c r="A21" s="387"/>
      <c r="B21" s="1245"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667"/>
      <c r="Q21" s="1486" t="str">
        <f>B21</f>
        <v>基础设施水平</v>
      </c>
      <c r="R21" s="713" t="s">
        <v>17</v>
      </c>
      <c r="S21" s="714">
        <f>F21</f>
        <v>100</v>
      </c>
      <c r="T21" s="713" t="s">
        <v>17</v>
      </c>
      <c r="U21" s="714">
        <f>H21</f>
        <v>100</v>
      </c>
      <c r="V21" s="713" t="s">
        <v>17</v>
      </c>
      <c r="W21" s="714">
        <f>J21</f>
        <v>100</v>
      </c>
      <c r="X21" s="1489"/>
      <c r="Y21" s="3667"/>
      <c r="Z21" s="1490" t="str">
        <f>Q21</f>
        <v>基础设施水平</v>
      </c>
      <c r="AA21" s="1487">
        <f t="shared" ref="AA21" si="8">D21/F21</f>
        <v>1</v>
      </c>
      <c r="AB21" s="1487">
        <f t="shared" ref="AB21" si="9">D21/H21</f>
        <v>1</v>
      </c>
      <c r="AC21" s="1487">
        <f t="shared" ref="AC21" si="10">D21/J21</f>
        <v>1</v>
      </c>
    </row>
    <row r="22" spans="1:29" ht="16" x14ac:dyDescent="0.2">
      <c r="A22" s="387"/>
      <c r="B22" s="1245"/>
      <c r="C22" s="2037"/>
      <c r="D22" s="407"/>
      <c r="E22" s="406"/>
      <c r="F22" s="408"/>
      <c r="G22" s="406"/>
      <c r="H22" s="407"/>
      <c r="I22" s="406"/>
      <c r="J22" s="407"/>
      <c r="K22" s="1244"/>
      <c r="L22" s="1034"/>
      <c r="M22" s="1025"/>
      <c r="N22" s="1025"/>
      <c r="O22" s="1033"/>
      <c r="P22" s="3667"/>
      <c r="Q22" s="1486"/>
      <c r="R22" s="713"/>
      <c r="S22" s="714"/>
      <c r="T22" s="713"/>
      <c r="U22" s="714"/>
      <c r="V22" s="713"/>
      <c r="W22" s="714"/>
      <c r="X22" s="1489"/>
      <c r="Y22" s="3667"/>
      <c r="Z22" s="1490"/>
      <c r="AA22" s="1487">
        <v>1</v>
      </c>
      <c r="AB22" s="1487">
        <v>1</v>
      </c>
      <c r="AC22" s="1487">
        <v>1</v>
      </c>
    </row>
    <row r="23" spans="1:29" ht="70" x14ac:dyDescent="0.2">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667"/>
      <c r="Q23" s="1486" t="str">
        <f>B23</f>
        <v>环境质量</v>
      </c>
      <c r="R23" s="713" t="s">
        <v>17</v>
      </c>
      <c r="S23" s="714">
        <f>F23</f>
        <v>100</v>
      </c>
      <c r="T23" s="713" t="s">
        <v>17</v>
      </c>
      <c r="U23" s="714">
        <f>H23</f>
        <v>100</v>
      </c>
      <c r="V23" s="713" t="s">
        <v>17</v>
      </c>
      <c r="W23" s="714">
        <f>J23</f>
        <v>100</v>
      </c>
      <c r="X23" s="1489"/>
      <c r="Y23" s="3667"/>
      <c r="Z23" s="1490" t="str">
        <f>Q23</f>
        <v>环境质量</v>
      </c>
      <c r="AA23" s="1487">
        <f t="shared" si="3"/>
        <v>1</v>
      </c>
      <c r="AB23" s="1487">
        <f t="shared" si="4"/>
        <v>1</v>
      </c>
      <c r="AC23" s="1487">
        <f t="shared" si="5"/>
        <v>1</v>
      </c>
    </row>
    <row r="24" spans="1:29" ht="16" x14ac:dyDescent="0.2">
      <c r="A24" s="387"/>
      <c r="B24" s="1245"/>
      <c r="C24" s="406"/>
      <c r="D24" s="407"/>
      <c r="E24" s="2034"/>
      <c r="F24" s="408"/>
      <c r="G24" s="2033"/>
      <c r="H24" s="407"/>
      <c r="I24" s="2034"/>
      <c r="J24" s="407"/>
      <c r="K24" s="572"/>
      <c r="L24" s="1034"/>
      <c r="M24" s="1025"/>
      <c r="N24" s="1025"/>
      <c r="O24" s="1033"/>
      <c r="P24" s="3667"/>
      <c r="Q24" s="1486"/>
      <c r="R24" s="713"/>
      <c r="S24" s="714"/>
      <c r="T24" s="713"/>
      <c r="U24" s="714"/>
      <c r="V24" s="713"/>
      <c r="W24" s="714"/>
      <c r="X24" s="1489"/>
      <c r="Y24" s="3667"/>
      <c r="Z24" s="1490"/>
      <c r="AA24" s="1487">
        <v>1</v>
      </c>
      <c r="AB24" s="1487">
        <v>1</v>
      </c>
      <c r="AC24" s="1487">
        <v>1</v>
      </c>
    </row>
    <row r="25" spans="1:29" ht="16" x14ac:dyDescent="0.2">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667"/>
      <c r="Q25" s="1486">
        <f>B25</f>
        <v>111</v>
      </c>
      <c r="R25" s="713" t="s">
        <v>17</v>
      </c>
      <c r="S25" s="714">
        <f>F25</f>
        <v>100</v>
      </c>
      <c r="T25" s="713" t="s">
        <v>17</v>
      </c>
      <c r="U25" s="714">
        <f>H25</f>
        <v>100</v>
      </c>
      <c r="V25" s="713" t="s">
        <v>17</v>
      </c>
      <c r="W25" s="714">
        <f>J25</f>
        <v>100</v>
      </c>
      <c r="X25" s="1489"/>
      <c r="Y25" s="3667"/>
      <c r="Z25" s="1490">
        <f>Q25</f>
        <v>111</v>
      </c>
      <c r="AA25" s="1487">
        <f t="shared" si="3"/>
        <v>1</v>
      </c>
      <c r="AB25" s="1487">
        <f t="shared" si="4"/>
        <v>1</v>
      </c>
      <c r="AC25" s="1487">
        <f t="shared" si="5"/>
        <v>1</v>
      </c>
    </row>
    <row r="26" spans="1:29" ht="16" x14ac:dyDescent="0.2">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667"/>
      <c r="Q26" s="1486">
        <f t="shared" ref="Q26:Q40" si="11">B26</f>
        <v>111</v>
      </c>
      <c r="R26" s="713" t="s">
        <v>17</v>
      </c>
      <c r="S26" s="714">
        <f>F26</f>
        <v>100</v>
      </c>
      <c r="T26" s="713" t="s">
        <v>17</v>
      </c>
      <c r="U26" s="714">
        <f>H26</f>
        <v>100</v>
      </c>
      <c r="V26" s="713" t="s">
        <v>17</v>
      </c>
      <c r="W26" s="714">
        <f>J26</f>
        <v>100</v>
      </c>
      <c r="X26" s="1489"/>
      <c r="Y26" s="3667"/>
      <c r="Z26" s="1490">
        <f>Q26</f>
        <v>111</v>
      </c>
      <c r="AA26" s="1487">
        <f t="shared" si="3"/>
        <v>1</v>
      </c>
      <c r="AB26" s="1487">
        <f t="shared" si="4"/>
        <v>1</v>
      </c>
      <c r="AC26" s="1487">
        <f t="shared" si="5"/>
        <v>1</v>
      </c>
    </row>
    <row r="27" spans="1:29" s="113" customFormat="1" ht="16" x14ac:dyDescent="0.2">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667"/>
      <c r="Q27" s="1477">
        <f t="shared" si="11"/>
        <v>111</v>
      </c>
      <c r="R27" s="709" t="s">
        <v>17</v>
      </c>
      <c r="S27" s="710">
        <f>F27</f>
        <v>100</v>
      </c>
      <c r="T27" s="709" t="s">
        <v>17</v>
      </c>
      <c r="U27" s="710">
        <f>H27</f>
        <v>100</v>
      </c>
      <c r="V27" s="709" t="s">
        <v>17</v>
      </c>
      <c r="W27" s="710">
        <f>J27</f>
        <v>100</v>
      </c>
      <c r="X27" s="711"/>
      <c r="Y27" s="3667"/>
      <c r="Z27" s="55">
        <f>Q27</f>
        <v>111</v>
      </c>
      <c r="AA27" s="1487">
        <f>D27/F27</f>
        <v>1</v>
      </c>
      <c r="AB27" s="1487">
        <f>D27/H27</f>
        <v>1</v>
      </c>
      <c r="AC27" s="1487">
        <f>D27/J27</f>
        <v>1</v>
      </c>
    </row>
    <row r="28" spans="1:29" ht="17" thickBot="1" x14ac:dyDescent="0.25">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667"/>
      <c r="Q28" s="1486">
        <f t="shared" si="11"/>
        <v>111</v>
      </c>
      <c r="R28" s="713" t="s">
        <v>17</v>
      </c>
      <c r="S28" s="714">
        <f t="shared" ref="S28:S40" si="12">F28</f>
        <v>100</v>
      </c>
      <c r="T28" s="713" t="s">
        <v>17</v>
      </c>
      <c r="U28" s="714">
        <f t="shared" ref="U28:U40" si="13">H28</f>
        <v>100</v>
      </c>
      <c r="V28" s="713" t="s">
        <v>17</v>
      </c>
      <c r="W28" s="714">
        <f t="shared" ref="W28:W40" si="14">J28</f>
        <v>100</v>
      </c>
      <c r="X28" s="1489"/>
      <c r="Y28" s="3667"/>
      <c r="Z28" s="1490">
        <f t="shared" ref="Z28:Z40" si="15">Q28</f>
        <v>111</v>
      </c>
      <c r="AA28" s="1487">
        <f t="shared" si="3"/>
        <v>1</v>
      </c>
      <c r="AB28" s="1487">
        <f t="shared" si="4"/>
        <v>1</v>
      </c>
      <c r="AC28" s="1487">
        <f t="shared" si="5"/>
        <v>1</v>
      </c>
    </row>
    <row r="29" spans="1:29" ht="16" x14ac:dyDescent="0.2">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722" t="s">
        <v>2145</v>
      </c>
      <c r="Q29" s="1486" t="str">
        <f t="shared" si="11"/>
        <v>建筑类型</v>
      </c>
      <c r="R29" s="713" t="s">
        <v>17</v>
      </c>
      <c r="S29" s="714">
        <f t="shared" si="12"/>
        <v>100</v>
      </c>
      <c r="T29" s="713" t="s">
        <v>17</v>
      </c>
      <c r="U29" s="714">
        <f t="shared" si="13"/>
        <v>100</v>
      </c>
      <c r="V29" s="713" t="s">
        <v>17</v>
      </c>
      <c r="W29" s="714">
        <f t="shared" si="14"/>
        <v>100</v>
      </c>
      <c r="X29" s="1489"/>
      <c r="Y29" s="3671" t="s">
        <v>2145</v>
      </c>
      <c r="Z29" s="1490" t="str">
        <f t="shared" si="15"/>
        <v>建筑类型</v>
      </c>
      <c r="AA29" s="1487">
        <f t="shared" si="3"/>
        <v>1</v>
      </c>
      <c r="AB29" s="1487">
        <f t="shared" si="4"/>
        <v>1</v>
      </c>
      <c r="AC29" s="1487">
        <f t="shared" si="5"/>
        <v>1</v>
      </c>
    </row>
    <row r="30" spans="1:29" s="430" customFormat="1" ht="16" x14ac:dyDescent="0.2">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671"/>
      <c r="Q30" s="715" t="str">
        <f t="shared" si="11"/>
        <v>项目建筑规模</v>
      </c>
      <c r="R30" s="716" t="s">
        <v>17</v>
      </c>
      <c r="S30" s="717" t="e">
        <f t="shared" si="12"/>
        <v>#N/A</v>
      </c>
      <c r="T30" s="716" t="s">
        <v>17</v>
      </c>
      <c r="U30" s="717" t="e">
        <f t="shared" si="13"/>
        <v>#N/A</v>
      </c>
      <c r="V30" s="716" t="s">
        <v>17</v>
      </c>
      <c r="W30" s="717" t="e">
        <f t="shared" si="14"/>
        <v>#N/A</v>
      </c>
      <c r="X30" s="718"/>
      <c r="Y30" s="3671"/>
      <c r="Z30" s="719" t="str">
        <f t="shared" si="15"/>
        <v>项目建筑规模</v>
      </c>
      <c r="AA30" s="1487" t="e">
        <f t="shared" si="3"/>
        <v>#N/A</v>
      </c>
      <c r="AB30" s="1487" t="e">
        <f t="shared" si="4"/>
        <v>#N/A</v>
      </c>
      <c r="AC30" s="1487" t="e">
        <f t="shared" si="5"/>
        <v>#N/A</v>
      </c>
    </row>
    <row r="31" spans="1:29" ht="16" x14ac:dyDescent="0.2">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671"/>
      <c r="Q31" s="1486" t="str">
        <f t="shared" si="11"/>
        <v>建筑结构</v>
      </c>
      <c r="R31" s="713" t="s">
        <v>17</v>
      </c>
      <c r="S31" s="714">
        <f t="shared" si="12"/>
        <v>100</v>
      </c>
      <c r="T31" s="713" t="s">
        <v>17</v>
      </c>
      <c r="U31" s="714">
        <f t="shared" si="13"/>
        <v>100</v>
      </c>
      <c r="V31" s="713" t="s">
        <v>17</v>
      </c>
      <c r="W31" s="714">
        <f t="shared" si="14"/>
        <v>100</v>
      </c>
      <c r="X31" s="1489"/>
      <c r="Y31" s="3671"/>
      <c r="Z31" s="1490" t="str">
        <f t="shared" si="15"/>
        <v>建筑结构</v>
      </c>
      <c r="AA31" s="1487">
        <f t="shared" si="3"/>
        <v>1</v>
      </c>
      <c r="AB31" s="1487">
        <f t="shared" si="4"/>
        <v>1</v>
      </c>
      <c r="AC31" s="1487">
        <f t="shared" si="5"/>
        <v>1</v>
      </c>
    </row>
    <row r="32" spans="1:29" ht="16" x14ac:dyDescent="0.2">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671"/>
      <c r="Q32" s="1486" t="str">
        <f t="shared" si="11"/>
        <v>公共部分装修</v>
      </c>
      <c r="R32" s="713" t="s">
        <v>17</v>
      </c>
      <c r="S32" s="714">
        <f t="shared" si="12"/>
        <v>100</v>
      </c>
      <c r="T32" s="713" t="s">
        <v>17</v>
      </c>
      <c r="U32" s="714">
        <f t="shared" si="13"/>
        <v>100</v>
      </c>
      <c r="V32" s="713" t="s">
        <v>17</v>
      </c>
      <c r="W32" s="714">
        <f t="shared" si="14"/>
        <v>100</v>
      </c>
      <c r="X32" s="1489"/>
      <c r="Y32" s="3671"/>
      <c r="Z32" s="1490" t="str">
        <f t="shared" si="15"/>
        <v>公共部分装修</v>
      </c>
      <c r="AA32" s="1487">
        <f t="shared" si="3"/>
        <v>1</v>
      </c>
      <c r="AB32" s="1487">
        <f t="shared" si="4"/>
        <v>1</v>
      </c>
      <c r="AC32" s="1487">
        <f t="shared" si="5"/>
        <v>1</v>
      </c>
    </row>
    <row r="33" spans="1:29" ht="16" x14ac:dyDescent="0.2">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671"/>
      <c r="Q33" s="1486" t="str">
        <f t="shared" si="11"/>
        <v>成新度</v>
      </c>
      <c r="R33" s="713" t="s">
        <v>17</v>
      </c>
      <c r="S33" s="714" t="e">
        <f t="shared" si="12"/>
        <v>#N/A</v>
      </c>
      <c r="T33" s="713" t="s">
        <v>17</v>
      </c>
      <c r="U33" s="714" t="e">
        <f t="shared" si="13"/>
        <v>#N/A</v>
      </c>
      <c r="V33" s="713" t="s">
        <v>17</v>
      </c>
      <c r="W33" s="714" t="e">
        <f t="shared" si="14"/>
        <v>#N/A</v>
      </c>
      <c r="X33" s="1489"/>
      <c r="Y33" s="3671"/>
      <c r="Z33" s="1490" t="str">
        <f t="shared" si="15"/>
        <v>成新度</v>
      </c>
      <c r="AA33" s="1487" t="e">
        <f t="shared" si="3"/>
        <v>#N/A</v>
      </c>
      <c r="AB33" s="1487" t="e">
        <f t="shared" si="4"/>
        <v>#N/A</v>
      </c>
      <c r="AC33" s="1487" t="e">
        <f t="shared" si="5"/>
        <v>#N/A</v>
      </c>
    </row>
    <row r="34" spans="1:29" s="113" customFormat="1" ht="16" x14ac:dyDescent="0.2">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671"/>
      <c r="Q34" s="1477" t="str">
        <f t="shared" si="11"/>
        <v>物业管理</v>
      </c>
      <c r="R34" s="709" t="s">
        <v>17</v>
      </c>
      <c r="S34" s="710">
        <f t="shared" si="12"/>
        <v>100</v>
      </c>
      <c r="T34" s="709" t="s">
        <v>17</v>
      </c>
      <c r="U34" s="710">
        <f t="shared" si="13"/>
        <v>100</v>
      </c>
      <c r="V34" s="709" t="s">
        <v>17</v>
      </c>
      <c r="W34" s="710">
        <f t="shared" si="14"/>
        <v>100</v>
      </c>
      <c r="X34" s="711"/>
      <c r="Y34" s="3671"/>
      <c r="Z34" s="55" t="str">
        <f t="shared" si="15"/>
        <v>物业管理</v>
      </c>
      <c r="AA34" s="712">
        <f t="shared" si="3"/>
        <v>1</v>
      </c>
      <c r="AB34" s="712">
        <f t="shared" si="4"/>
        <v>1</v>
      </c>
      <c r="AC34" s="712">
        <f t="shared" si="5"/>
        <v>1</v>
      </c>
    </row>
    <row r="35" spans="1:29" ht="16" x14ac:dyDescent="0.2">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671" t="s">
        <v>2145</v>
      </c>
      <c r="Q35" s="1486" t="str">
        <f t="shared" si="11"/>
        <v>市政基础设施</v>
      </c>
      <c r="R35" s="713" t="s">
        <v>17</v>
      </c>
      <c r="S35" s="714">
        <f t="shared" si="12"/>
        <v>100</v>
      </c>
      <c r="T35" s="713" t="s">
        <v>17</v>
      </c>
      <c r="U35" s="714">
        <f t="shared" si="13"/>
        <v>100</v>
      </c>
      <c r="V35" s="713" t="s">
        <v>17</v>
      </c>
      <c r="W35" s="714">
        <f t="shared" si="14"/>
        <v>100</v>
      </c>
      <c r="X35" s="1489"/>
      <c r="Y35" s="3671" t="s">
        <v>2145</v>
      </c>
      <c r="Z35" s="1490" t="str">
        <f t="shared" si="15"/>
        <v>市政基础设施</v>
      </c>
      <c r="AA35" s="1487">
        <f t="shared" si="3"/>
        <v>1</v>
      </c>
      <c r="AB35" s="1487">
        <f t="shared" si="4"/>
        <v>1</v>
      </c>
      <c r="AC35" s="1487">
        <f t="shared" si="5"/>
        <v>1</v>
      </c>
    </row>
    <row r="36" spans="1:29" ht="16" x14ac:dyDescent="0.2">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671"/>
      <c r="Q36" s="1486" t="str">
        <f t="shared" si="11"/>
        <v>内部装修</v>
      </c>
      <c r="R36" s="713" t="s">
        <v>17</v>
      </c>
      <c r="S36" s="714">
        <f t="shared" si="12"/>
        <v>100</v>
      </c>
      <c r="T36" s="713" t="s">
        <v>17</v>
      </c>
      <c r="U36" s="714">
        <f t="shared" si="13"/>
        <v>100</v>
      </c>
      <c r="V36" s="713" t="s">
        <v>17</v>
      </c>
      <c r="W36" s="714">
        <f t="shared" si="14"/>
        <v>100</v>
      </c>
      <c r="X36" s="1489"/>
      <c r="Y36" s="3671"/>
      <c r="Z36" s="1490" t="str">
        <f t="shared" si="15"/>
        <v>内部装修</v>
      </c>
      <c r="AA36" s="1487">
        <f t="shared" si="3"/>
        <v>1</v>
      </c>
      <c r="AB36" s="1487">
        <f t="shared" si="4"/>
        <v>1</v>
      </c>
      <c r="AC36" s="1487">
        <f t="shared" si="5"/>
        <v>1</v>
      </c>
    </row>
    <row r="37" spans="1:29" ht="16" x14ac:dyDescent="0.2">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671"/>
      <c r="Q37" s="1486" t="str">
        <f t="shared" si="11"/>
        <v>内部装修状况</v>
      </c>
      <c r="R37" s="713" t="s">
        <v>17</v>
      </c>
      <c r="S37" s="714">
        <f t="shared" si="12"/>
        <v>100</v>
      </c>
      <c r="T37" s="713" t="s">
        <v>17</v>
      </c>
      <c r="U37" s="714">
        <f t="shared" si="13"/>
        <v>100</v>
      </c>
      <c r="V37" s="713" t="s">
        <v>17</v>
      </c>
      <c r="W37" s="714">
        <f t="shared" si="14"/>
        <v>100</v>
      </c>
      <c r="X37" s="1489"/>
      <c r="Y37" s="3671"/>
      <c r="Z37" s="1490" t="str">
        <f t="shared" si="15"/>
        <v>内部装修状况</v>
      </c>
      <c r="AA37" s="1487">
        <f t="shared" si="3"/>
        <v>1</v>
      </c>
      <c r="AB37" s="1487">
        <f t="shared" si="4"/>
        <v>1</v>
      </c>
      <c r="AC37" s="1487">
        <f t="shared" si="5"/>
        <v>1</v>
      </c>
    </row>
    <row r="38" spans="1:29" s="430" customFormat="1" ht="16" x14ac:dyDescent="0.2">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671"/>
      <c r="Q38" s="715">
        <f t="shared" si="11"/>
        <v>111</v>
      </c>
      <c r="R38" s="716" t="s">
        <v>17</v>
      </c>
      <c r="S38" s="717">
        <f t="shared" si="12"/>
        <v>100</v>
      </c>
      <c r="T38" s="716" t="s">
        <v>17</v>
      </c>
      <c r="U38" s="717">
        <f t="shared" si="13"/>
        <v>100</v>
      </c>
      <c r="V38" s="716" t="s">
        <v>17</v>
      </c>
      <c r="W38" s="717">
        <f t="shared" si="14"/>
        <v>100</v>
      </c>
      <c r="X38" s="718"/>
      <c r="Y38" s="3671"/>
      <c r="Z38" s="719">
        <f t="shared" si="15"/>
        <v>111</v>
      </c>
      <c r="AA38" s="1487">
        <f t="shared" si="3"/>
        <v>1</v>
      </c>
      <c r="AB38" s="1487">
        <f t="shared" si="4"/>
        <v>1</v>
      </c>
      <c r="AC38" s="1487">
        <f t="shared" si="5"/>
        <v>1</v>
      </c>
    </row>
    <row r="39" spans="1:29" ht="16" x14ac:dyDescent="0.2">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671"/>
      <c r="Q39" s="1486">
        <f t="shared" si="11"/>
        <v>111</v>
      </c>
      <c r="R39" s="713" t="s">
        <v>17</v>
      </c>
      <c r="S39" s="714">
        <f t="shared" si="12"/>
        <v>100</v>
      </c>
      <c r="T39" s="713" t="s">
        <v>17</v>
      </c>
      <c r="U39" s="714">
        <f t="shared" si="13"/>
        <v>100</v>
      </c>
      <c r="V39" s="713" t="s">
        <v>17</v>
      </c>
      <c r="W39" s="714">
        <f t="shared" si="14"/>
        <v>100</v>
      </c>
      <c r="X39" s="1489"/>
      <c r="Y39" s="3671"/>
      <c r="Z39" s="1490">
        <f t="shared" si="15"/>
        <v>111</v>
      </c>
      <c r="AA39" s="1487">
        <f t="shared" si="3"/>
        <v>1</v>
      </c>
      <c r="AB39" s="1487">
        <f t="shared" si="4"/>
        <v>1</v>
      </c>
      <c r="AC39" s="1487">
        <f t="shared" si="5"/>
        <v>1</v>
      </c>
    </row>
    <row r="40" spans="1:29" ht="17" thickBot="1" x14ac:dyDescent="0.25">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672"/>
      <c r="Q40" s="1486">
        <f t="shared" si="11"/>
        <v>111</v>
      </c>
      <c r="R40" s="713" t="s">
        <v>17</v>
      </c>
      <c r="S40" s="714">
        <f t="shared" si="12"/>
        <v>100</v>
      </c>
      <c r="T40" s="713" t="s">
        <v>17</v>
      </c>
      <c r="U40" s="714">
        <f t="shared" si="13"/>
        <v>100</v>
      </c>
      <c r="V40" s="713" t="s">
        <v>17</v>
      </c>
      <c r="W40" s="714">
        <f t="shared" si="14"/>
        <v>100</v>
      </c>
      <c r="X40" s="1489"/>
      <c r="Y40" s="3672"/>
      <c r="Z40" s="1490">
        <f t="shared" si="15"/>
        <v>111</v>
      </c>
      <c r="AA40" s="1487">
        <f t="shared" si="3"/>
        <v>1</v>
      </c>
      <c r="AB40" s="1487">
        <f t="shared" si="4"/>
        <v>1</v>
      </c>
      <c r="AC40" s="1487">
        <f t="shared" si="5"/>
        <v>1</v>
      </c>
    </row>
    <row r="41" spans="1:29" x14ac:dyDescent="0.2">
      <c r="A41" s="438" t="s">
        <v>2157</v>
      </c>
      <c r="B41" s="439"/>
      <c r="C41" s="1268" t="s">
        <v>1</v>
      </c>
      <c r="D41" s="1269"/>
      <c r="E41" s="1270"/>
      <c r="F41" s="1271"/>
      <c r="G41" s="1272"/>
      <c r="H41" s="1273"/>
      <c r="I41" s="1270"/>
      <c r="J41" s="1273"/>
      <c r="K41" s="722"/>
      <c r="L41" s="1037"/>
      <c r="M41" s="1038"/>
      <c r="N41" s="1025"/>
      <c r="O41" s="1038"/>
      <c r="P41" s="3664" t="str">
        <f>A41</f>
        <v>成交单价（元/平方米）</v>
      </c>
      <c r="Q41" s="3664"/>
      <c r="R41" s="3665">
        <f>E41</f>
        <v>0</v>
      </c>
      <c r="S41" s="3665"/>
      <c r="T41" s="3665">
        <f>G41</f>
        <v>0</v>
      </c>
      <c r="U41" s="3665"/>
      <c r="V41" s="3665">
        <f>I41</f>
        <v>0</v>
      </c>
      <c r="W41" s="3665"/>
      <c r="X41" s="698"/>
      <c r="Y41" s="720"/>
      <c r="Z41" s="698"/>
      <c r="AA41" s="698"/>
      <c r="AB41" s="698"/>
      <c r="AC41" s="698"/>
    </row>
    <row r="42" spans="1:29" ht="15" thickBot="1" x14ac:dyDescent="0.25">
      <c r="A42" s="445" t="s">
        <v>2249</v>
      </c>
      <c r="B42" s="446"/>
      <c r="C42" s="1274" t="e">
        <f>R43</f>
        <v>#DIV/0!</v>
      </c>
      <c r="D42" s="2488" t="s">
        <v>2639</v>
      </c>
      <c r="E42" s="1275" t="e">
        <f>R42</f>
        <v>#DIV/0!</v>
      </c>
      <c r="F42" s="2489"/>
      <c r="G42" s="1274" t="e">
        <f>T42</f>
        <v>#DIV/0!</v>
      </c>
      <c r="H42" s="2489"/>
      <c r="I42" s="1275" t="e">
        <f>V42</f>
        <v>#DIV/0!</v>
      </c>
      <c r="J42" s="2489"/>
      <c r="K42" s="2491">
        <f>F42+H42+J42</f>
        <v>0</v>
      </c>
      <c r="L42" s="1037"/>
      <c r="M42" s="1038"/>
      <c r="N42" s="1025"/>
      <c r="O42" s="1038"/>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8"/>
      <c r="Y42" s="698"/>
      <c r="Z42" s="698"/>
      <c r="AA42" s="698"/>
      <c r="AB42" s="698"/>
      <c r="AC42" s="698"/>
    </row>
    <row r="43" spans="1:29" ht="15" thickBot="1" x14ac:dyDescent="0.25">
      <c r="A43" s="449" t="s">
        <v>2250</v>
      </c>
      <c r="B43" s="450"/>
      <c r="C43" s="1277" t="e">
        <f>R43</f>
        <v>#DIV/0!</v>
      </c>
      <c r="D43" s="1277"/>
      <c r="E43" s="1277"/>
      <c r="F43" s="1277"/>
      <c r="G43" s="1277"/>
      <c r="H43" s="1277"/>
      <c r="I43" s="1277"/>
      <c r="J43" s="1277"/>
      <c r="K43" s="723"/>
      <c r="L43" s="1037"/>
      <c r="M43" s="1038"/>
      <c r="N43" s="1038"/>
      <c r="O43" s="1038"/>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8"/>
      <c r="Y43" s="698"/>
      <c r="Z43" s="698"/>
      <c r="AA43" s="698"/>
      <c r="AB43" s="698"/>
      <c r="AC43" s="698"/>
    </row>
    <row r="44" spans="1:29" x14ac:dyDescent="0.2">
      <c r="A44" s="2903"/>
      <c r="B44" s="2903"/>
      <c r="C44" s="2903"/>
      <c r="D44" s="2903"/>
      <c r="E44" s="2903"/>
      <c r="F44" s="2903"/>
      <c r="G44" s="2907"/>
      <c r="H44" s="2903"/>
      <c r="I44" s="2903"/>
      <c r="J44" s="2903"/>
      <c r="K44" s="2908"/>
      <c r="L44" s="1000"/>
      <c r="M44" s="1038"/>
      <c r="N44" s="1038"/>
      <c r="O44" s="1038"/>
    </row>
    <row r="45" spans="1:29" x14ac:dyDescent="0.2">
      <c r="A45" s="2903"/>
      <c r="B45" s="2903"/>
      <c r="C45" s="2903"/>
      <c r="D45" s="2903"/>
      <c r="E45" s="2903"/>
      <c r="F45" s="2903"/>
      <c r="G45" s="2903"/>
      <c r="H45" s="2903"/>
      <c r="I45" s="2903"/>
      <c r="J45" s="2903"/>
      <c r="K45" s="2908"/>
      <c r="L45" s="1000"/>
      <c r="M45" s="1038"/>
      <c r="N45" s="1038"/>
      <c r="O45" s="1038"/>
    </row>
    <row r="46" spans="1:29" ht="13.5" customHeight="1" x14ac:dyDescent="0.2">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0"/>
      <c r="M46" s="1038"/>
      <c r="N46" s="1038"/>
      <c r="O46" s="1038"/>
    </row>
    <row r="47" spans="1:29" ht="13.5" customHeight="1" x14ac:dyDescent="0.2">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0"/>
      <c r="M47" s="1038"/>
      <c r="N47" s="1038"/>
      <c r="O47" s="1038"/>
    </row>
    <row r="48" spans="1:29" s="459" customFormat="1" ht="13.5" customHeight="1" x14ac:dyDescent="0.2">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1"/>
      <c r="M48" s="1039"/>
      <c r="N48" s="1039"/>
      <c r="O48" s="1039"/>
    </row>
    <row r="49" spans="1:17" s="459" customFormat="1" x14ac:dyDescent="0.2">
      <c r="A49" s="2906"/>
      <c r="B49" s="2909"/>
      <c r="C49" s="2910"/>
      <c r="D49" s="2906"/>
      <c r="E49" s="2906"/>
      <c r="F49" s="2906"/>
      <c r="G49" s="2906"/>
      <c r="H49" s="2906"/>
      <c r="I49" s="2906"/>
      <c r="J49" s="2906"/>
      <c r="K49" s="2911"/>
      <c r="L49" s="1041"/>
      <c r="M49" s="1039"/>
      <c r="N49" s="1039"/>
      <c r="O49" s="1039"/>
    </row>
    <row r="50" spans="1:17" x14ac:dyDescent="0.2">
      <c r="A50" s="2903"/>
      <c r="B50" s="2909"/>
      <c r="C50" s="2910"/>
      <c r="D50" s="2903"/>
      <c r="E50" s="2903"/>
      <c r="F50" s="2903"/>
      <c r="G50" s="2903"/>
      <c r="H50" s="2903"/>
      <c r="I50" s="2903"/>
      <c r="J50" s="2903"/>
      <c r="K50" s="2908"/>
      <c r="L50" s="1000"/>
      <c r="M50" s="1038"/>
      <c r="N50" s="1038"/>
      <c r="O50" s="1038"/>
    </row>
    <row r="51" spans="1:17" ht="21" thickBot="1" x14ac:dyDescent="0.25">
      <c r="A51" s="702" t="s">
        <v>2254</v>
      </c>
      <c r="B51" s="698"/>
      <c r="C51" s="703"/>
      <c r="D51" s="703"/>
      <c r="E51" s="703"/>
      <c r="F51" s="704"/>
      <c r="G51" s="704"/>
      <c r="H51" s="703"/>
      <c r="I51" s="703"/>
      <c r="J51" s="703"/>
      <c r="K51" s="1052"/>
      <c r="L51" s="1053"/>
      <c r="M51" s="1051"/>
      <c r="N51" s="1051"/>
      <c r="O51" s="1051"/>
      <c r="P51" s="460"/>
      <c r="Q51" s="461"/>
    </row>
    <row r="52" spans="1:17" s="465" customFormat="1" x14ac:dyDescent="0.2">
      <c r="A52" s="462" t="s">
        <v>2128</v>
      </c>
      <c r="B52" s="463"/>
      <c r="C52" s="1298" t="str">
        <f>YEAR(C7)&amp;"-"&amp;MONTH(C7)</f>
        <v>2022-11</v>
      </c>
      <c r="D52" s="1299">
        <f>EDATE(C52,-1)</f>
        <v>44835</v>
      </c>
      <c r="E52" s="1299">
        <f t="shared" ref="E52:O52" si="16">EDATE(D52,-1)</f>
        <v>44805</v>
      </c>
      <c r="F52" s="1299">
        <f t="shared" si="16"/>
        <v>44774</v>
      </c>
      <c r="G52" s="1299">
        <f t="shared" si="16"/>
        <v>44743</v>
      </c>
      <c r="H52" s="1299">
        <f t="shared" si="16"/>
        <v>44713</v>
      </c>
      <c r="I52" s="1299">
        <f t="shared" si="16"/>
        <v>44682</v>
      </c>
      <c r="J52" s="1299">
        <f t="shared" si="16"/>
        <v>44652</v>
      </c>
      <c r="K52" s="1299">
        <f t="shared" si="16"/>
        <v>44621</v>
      </c>
      <c r="L52" s="1299">
        <f t="shared" si="16"/>
        <v>44593</v>
      </c>
      <c r="M52" s="1299">
        <f t="shared" si="16"/>
        <v>44562</v>
      </c>
      <c r="N52" s="1299">
        <f t="shared" si="16"/>
        <v>44531</v>
      </c>
      <c r="O52" s="1299">
        <f t="shared" si="16"/>
        <v>44501</v>
      </c>
      <c r="P52" s="464"/>
    </row>
    <row r="53" spans="1:17" s="113" customFormat="1" x14ac:dyDescent="0.2">
      <c r="A53" s="466"/>
      <c r="B53" s="467"/>
      <c r="C53" s="1297">
        <v>100</v>
      </c>
      <c r="D53" s="469"/>
      <c r="E53" s="469"/>
      <c r="F53" s="469"/>
      <c r="G53" s="469"/>
      <c r="H53" s="469"/>
      <c r="I53" s="469"/>
      <c r="J53" s="469"/>
      <c r="K53" s="469"/>
      <c r="L53" s="469"/>
      <c r="M53" s="470"/>
      <c r="N53" s="469"/>
      <c r="O53" s="471"/>
      <c r="P53" s="461"/>
    </row>
    <row r="54" spans="1:17" s="113" customFormat="1" ht="15" thickBot="1" x14ac:dyDescent="0.25">
      <c r="A54" s="472" t="s">
        <v>2165</v>
      </c>
      <c r="B54" s="473"/>
      <c r="C54" s="474"/>
      <c r="D54" s="475"/>
      <c r="E54" s="475"/>
      <c r="F54" s="475"/>
      <c r="G54" s="475"/>
      <c r="H54" s="475"/>
      <c r="I54" s="475"/>
      <c r="J54" s="475"/>
      <c r="K54" s="475"/>
      <c r="L54" s="475"/>
      <c r="M54" s="476"/>
      <c r="N54" s="2948"/>
      <c r="O54" s="2949"/>
      <c r="P54" s="461"/>
      <c r="Q54" s="461"/>
    </row>
    <row r="55" spans="1:17" s="113" customFormat="1" x14ac:dyDescent="0.2">
      <c r="A55" s="478" t="s">
        <v>2130</v>
      </c>
      <c r="B55" s="467"/>
      <c r="C55" s="479" t="s">
        <v>2232</v>
      </c>
      <c r="D55" s="480"/>
      <c r="E55" s="480"/>
      <c r="F55" s="480"/>
      <c r="G55" s="480"/>
      <c r="H55" s="480"/>
      <c r="I55" s="480"/>
      <c r="J55" s="480"/>
      <c r="K55" s="480"/>
      <c r="L55" s="481"/>
      <c r="M55" s="482"/>
      <c r="N55" s="1043"/>
      <c r="O55" s="1043"/>
      <c r="P55" s="483"/>
      <c r="Q55" s="461"/>
    </row>
    <row r="56" spans="1:17" s="113" customFormat="1" ht="15" thickBot="1" x14ac:dyDescent="0.25">
      <c r="A56" s="478"/>
      <c r="B56" s="467"/>
      <c r="C56" s="594">
        <v>100</v>
      </c>
      <c r="D56" s="469"/>
      <c r="E56" s="469"/>
      <c r="F56" s="469"/>
      <c r="G56" s="469"/>
      <c r="H56" s="469"/>
      <c r="I56" s="469"/>
      <c r="J56" s="469"/>
      <c r="K56" s="469"/>
      <c r="L56" s="469"/>
      <c r="M56" s="471"/>
      <c r="N56" s="1043"/>
      <c r="O56" s="1043"/>
      <c r="P56" s="461"/>
      <c r="Q56" s="461"/>
    </row>
    <row r="57" spans="1:17" x14ac:dyDescent="0.2">
      <c r="A57" s="484" t="s">
        <v>2168</v>
      </c>
      <c r="B57" s="485" t="s">
        <v>2134</v>
      </c>
      <c r="C57" s="486">
        <f>C9</f>
        <v>0</v>
      </c>
      <c r="D57" s="487"/>
      <c r="E57" s="487"/>
      <c r="F57" s="487"/>
      <c r="G57" s="487"/>
      <c r="H57" s="487"/>
      <c r="I57" s="487"/>
      <c r="J57" s="487"/>
      <c r="K57" s="488"/>
      <c r="L57" s="489"/>
      <c r="M57" s="490"/>
      <c r="N57" s="1044"/>
      <c r="O57" s="1044"/>
      <c r="P57" s="45"/>
      <c r="Q57" s="461"/>
    </row>
    <row r="58" spans="1:17" ht="15" thickBot="1" x14ac:dyDescent="0.25">
      <c r="A58" s="491"/>
      <c r="B58" s="492"/>
      <c r="C58" s="493">
        <v>100</v>
      </c>
      <c r="D58" s="493"/>
      <c r="E58" s="493"/>
      <c r="F58" s="493"/>
      <c r="G58" s="493"/>
      <c r="H58" s="493"/>
      <c r="I58" s="493"/>
      <c r="J58" s="493"/>
      <c r="K58" s="493"/>
      <c r="L58" s="493"/>
      <c r="M58" s="494"/>
      <c r="N58" s="1045"/>
      <c r="O58" s="1045"/>
      <c r="P58" s="45"/>
      <c r="Q58" s="461"/>
    </row>
    <row r="59" spans="1:17" ht="29" thickTop="1" x14ac:dyDescent="0.2">
      <c r="A59" s="491"/>
      <c r="B59" s="495" t="s">
        <v>2137</v>
      </c>
      <c r="C59" s="496" t="s">
        <v>2169</v>
      </c>
      <c r="D59" s="496" t="s">
        <v>2170</v>
      </c>
      <c r="E59" s="496" t="s">
        <v>2171</v>
      </c>
      <c r="F59" s="496" t="s">
        <v>2172</v>
      </c>
      <c r="G59" s="496" t="s">
        <v>2173</v>
      </c>
      <c r="H59" s="496" t="s">
        <v>2174</v>
      </c>
      <c r="I59" s="496" t="s">
        <v>2175</v>
      </c>
      <c r="J59" s="496"/>
      <c r="K59" s="497"/>
      <c r="L59" s="498"/>
      <c r="M59" s="499"/>
      <c r="N59" s="1044"/>
      <c r="O59" s="1044"/>
      <c r="P59" s="45"/>
      <c r="Q59" s="461"/>
    </row>
    <row r="60" spans="1:17" ht="15" thickBot="1" x14ac:dyDescent="0.25">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5" thickTop="1" x14ac:dyDescent="0.2">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x14ac:dyDescent="0.2">
      <c r="A62" s="491"/>
      <c r="B62" s="505"/>
      <c r="C62" s="506"/>
      <c r="D62" s="506"/>
      <c r="E62" s="506"/>
      <c r="F62" s="506"/>
      <c r="G62" s="506"/>
      <c r="H62" s="506"/>
      <c r="I62" s="506"/>
      <c r="J62" s="506"/>
      <c r="K62" s="507"/>
      <c r="L62" s="508"/>
      <c r="M62" s="509"/>
      <c r="N62" s="1044"/>
      <c r="O62" s="1044"/>
      <c r="P62" s="45"/>
      <c r="Q62" s="461"/>
    </row>
    <row r="63" spans="1:17" ht="15" thickBot="1" x14ac:dyDescent="0.25">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 thickTop="1" x14ac:dyDescent="0.2">
      <c r="A64" s="510"/>
      <c r="B64" s="495">
        <f>B12</f>
        <v>111</v>
      </c>
      <c r="C64" s="511"/>
      <c r="D64" s="511"/>
      <c r="E64" s="511"/>
      <c r="F64" s="511"/>
      <c r="G64" s="511"/>
      <c r="H64" s="512"/>
      <c r="I64" s="512"/>
      <c r="J64" s="512"/>
      <c r="K64" s="512"/>
      <c r="L64" s="513"/>
      <c r="M64" s="514"/>
      <c r="N64" s="1046"/>
      <c r="O64" s="1046"/>
      <c r="P64" s="515"/>
      <c r="Q64" s="516"/>
    </row>
    <row r="65" spans="1:17" s="430" customFormat="1" ht="15" thickBot="1" x14ac:dyDescent="0.25">
      <c r="A65" s="510"/>
      <c r="B65" s="500"/>
      <c r="C65" s="517"/>
      <c r="D65" s="493"/>
      <c r="E65" s="493"/>
      <c r="F65" s="493"/>
      <c r="G65" s="493"/>
      <c r="H65" s="493"/>
      <c r="I65" s="493"/>
      <c r="J65" s="493"/>
      <c r="K65" s="493"/>
      <c r="L65" s="493"/>
      <c r="M65" s="494"/>
      <c r="N65" s="1045"/>
      <c r="O65" s="1045"/>
      <c r="P65" s="515"/>
      <c r="Q65" s="516"/>
    </row>
    <row r="66" spans="1:17" s="430" customFormat="1" ht="15" thickTop="1" x14ac:dyDescent="0.2">
      <c r="A66" s="510"/>
      <c r="B66" s="495">
        <f>B13</f>
        <v>111</v>
      </c>
      <c r="C66" s="511"/>
      <c r="D66" s="511"/>
      <c r="E66" s="511"/>
      <c r="F66" s="511"/>
      <c r="G66" s="511"/>
      <c r="H66" s="512"/>
      <c r="I66" s="512"/>
      <c r="J66" s="512"/>
      <c r="K66" s="512"/>
      <c r="L66" s="513"/>
      <c r="M66" s="514"/>
      <c r="N66" s="1046"/>
      <c r="O66" s="1046"/>
      <c r="P66" s="429"/>
      <c r="Q66" s="518"/>
    </row>
    <row r="67" spans="1:17" s="430" customFormat="1" ht="15" thickBot="1" x14ac:dyDescent="0.25">
      <c r="A67" s="510"/>
      <c r="B67" s="500"/>
      <c r="C67" s="517"/>
      <c r="D67" s="493"/>
      <c r="E67" s="493"/>
      <c r="F67" s="493"/>
      <c r="G67" s="517"/>
      <c r="H67" s="519"/>
      <c r="I67" s="519"/>
      <c r="J67" s="519"/>
      <c r="K67" s="519"/>
      <c r="L67" s="519"/>
      <c r="M67" s="520"/>
      <c r="N67" s="1046"/>
      <c r="O67" s="1046"/>
      <c r="P67" s="515"/>
      <c r="Q67" s="516"/>
    </row>
    <row r="68" spans="1:17" s="430" customFormat="1" ht="15" thickTop="1" x14ac:dyDescent="0.2">
      <c r="A68" s="510"/>
      <c r="B68" s="503">
        <f>B14</f>
        <v>111</v>
      </c>
      <c r="C68" s="480"/>
      <c r="D68" s="480"/>
      <c r="E68" s="480"/>
      <c r="F68" s="480"/>
      <c r="G68" s="480"/>
      <c r="H68" s="521"/>
      <c r="I68" s="521"/>
      <c r="J68" s="521"/>
      <c r="K68" s="521"/>
      <c r="L68" s="522"/>
      <c r="M68" s="523"/>
      <c r="N68" s="1046"/>
      <c r="O68" s="1046"/>
      <c r="P68" s="524"/>
      <c r="Q68" s="516"/>
    </row>
    <row r="69" spans="1:17" s="430" customFormat="1" ht="15" thickBot="1" x14ac:dyDescent="0.25">
      <c r="A69" s="525"/>
      <c r="B69" s="526"/>
      <c r="C69" s="527"/>
      <c r="D69" s="527"/>
      <c r="E69" s="527"/>
      <c r="F69" s="527"/>
      <c r="G69" s="527"/>
      <c r="H69" s="528"/>
      <c r="I69" s="528"/>
      <c r="J69" s="528"/>
      <c r="K69" s="528"/>
      <c r="L69" s="528"/>
      <c r="M69" s="529"/>
      <c r="N69" s="1046"/>
      <c r="O69" s="1046"/>
      <c r="P69" s="515"/>
      <c r="Q69" s="516"/>
    </row>
    <row r="70" spans="1:17" x14ac:dyDescent="0.2">
      <c r="A70" s="484" t="s">
        <v>2139</v>
      </c>
      <c r="B70" s="485" t="s">
        <v>2285</v>
      </c>
      <c r="C70" s="530" t="s">
        <v>2177</v>
      </c>
      <c r="D70" s="530" t="s">
        <v>2178</v>
      </c>
      <c r="E70" s="530" t="s">
        <v>2179</v>
      </c>
      <c r="F70" s="530" t="s">
        <v>2180</v>
      </c>
      <c r="G70" s="530" t="s">
        <v>2181</v>
      </c>
      <c r="H70" s="486"/>
      <c r="I70" s="486"/>
      <c r="J70" s="486"/>
      <c r="K70" s="531"/>
      <c r="L70" s="532"/>
      <c r="M70" s="533"/>
      <c r="N70" s="1044"/>
      <c r="O70" s="1044"/>
      <c r="P70" s="534"/>
      <c r="Q70" s="461"/>
    </row>
    <row r="71" spans="1:17" ht="15" thickBot="1" x14ac:dyDescent="0.25">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5" thickTop="1" x14ac:dyDescent="0.2">
      <c r="A72" s="491"/>
      <c r="B72" s="495" t="s">
        <v>2182</v>
      </c>
      <c r="C72" s="535" t="s">
        <v>2177</v>
      </c>
      <c r="D72" s="535" t="s">
        <v>2178</v>
      </c>
      <c r="E72" s="535" t="s">
        <v>2179</v>
      </c>
      <c r="F72" s="535" t="s">
        <v>2180</v>
      </c>
      <c r="G72" s="535" t="s">
        <v>2181</v>
      </c>
      <c r="H72" s="496"/>
      <c r="I72" s="496"/>
      <c r="J72" s="496"/>
      <c r="K72" s="497"/>
      <c r="L72" s="498"/>
      <c r="M72" s="499"/>
      <c r="N72" s="1044"/>
      <c r="O72" s="1044"/>
      <c r="P72" s="45"/>
      <c r="Q72" s="461"/>
    </row>
    <row r="73" spans="1:17" ht="15" thickBot="1" x14ac:dyDescent="0.25">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5" thickTop="1" x14ac:dyDescent="0.2">
      <c r="A74" s="491"/>
      <c r="B74" s="495" t="s">
        <v>2183</v>
      </c>
      <c r="C74" s="535" t="s">
        <v>2177</v>
      </c>
      <c r="D74" s="535" t="s">
        <v>2178</v>
      </c>
      <c r="E74" s="535" t="s">
        <v>2179</v>
      </c>
      <c r="F74" s="535" t="s">
        <v>2180</v>
      </c>
      <c r="G74" s="535" t="s">
        <v>2181</v>
      </c>
      <c r="H74" s="496"/>
      <c r="I74" s="496"/>
      <c r="J74" s="496"/>
      <c r="K74" s="497"/>
      <c r="L74" s="498"/>
      <c r="M74" s="499"/>
      <c r="N74" s="1044"/>
      <c r="O74" s="1044"/>
      <c r="P74" s="45"/>
      <c r="Q74" s="461"/>
    </row>
    <row r="75" spans="1:17" ht="15" thickBot="1" x14ac:dyDescent="0.25">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5" thickTop="1" x14ac:dyDescent="0.2">
      <c r="A76" s="491"/>
      <c r="B76" s="503" t="s">
        <v>2269</v>
      </c>
      <c r="C76" s="615" t="s">
        <v>2255</v>
      </c>
      <c r="D76" s="615" t="s">
        <v>2256</v>
      </c>
      <c r="E76" s="615" t="s">
        <v>2257</v>
      </c>
      <c r="F76" s="615" t="s">
        <v>2258</v>
      </c>
      <c r="G76" s="615" t="s">
        <v>2259</v>
      </c>
      <c r="H76" s="496"/>
      <c r="I76" s="496"/>
      <c r="J76" s="496"/>
      <c r="K76" s="496"/>
      <c r="L76" s="496"/>
      <c r="M76" s="1243"/>
      <c r="N76" s="1045"/>
      <c r="O76" s="1045"/>
      <c r="P76" s="45"/>
      <c r="Q76" s="461"/>
    </row>
    <row r="77" spans="1:17" ht="15" thickBot="1" x14ac:dyDescent="0.25">
      <c r="A77" s="491"/>
      <c r="B77" s="503"/>
      <c r="C77" s="501">
        <v>100</v>
      </c>
      <c r="D77" s="501">
        <f>C77-$K21</f>
        <v>100</v>
      </c>
      <c r="E77" s="501">
        <f>D77-$K21</f>
        <v>100</v>
      </c>
      <c r="F77" s="501">
        <f>E77-$K21</f>
        <v>100</v>
      </c>
      <c r="G77" s="501">
        <f>F77-$K21</f>
        <v>100</v>
      </c>
      <c r="H77" s="615"/>
      <c r="I77" s="615"/>
      <c r="J77" s="615"/>
      <c r="K77" s="615"/>
      <c r="L77" s="615"/>
      <c r="M77" s="409"/>
      <c r="N77" s="1045"/>
      <c r="O77" s="1045"/>
      <c r="P77" s="45"/>
      <c r="Q77" s="461"/>
    </row>
    <row r="78" spans="1:17" ht="15" thickTop="1" x14ac:dyDescent="0.2">
      <c r="A78" s="491"/>
      <c r="B78" s="495" t="s">
        <v>2278</v>
      </c>
      <c r="C78" s="535" t="s">
        <v>2177</v>
      </c>
      <c r="D78" s="535" t="s">
        <v>2178</v>
      </c>
      <c r="E78" s="535" t="s">
        <v>2179</v>
      </c>
      <c r="F78" s="535" t="s">
        <v>2180</v>
      </c>
      <c r="G78" s="535" t="s">
        <v>2181</v>
      </c>
      <c r="H78" s="496"/>
      <c r="I78" s="496"/>
      <c r="J78" s="496"/>
      <c r="K78" s="497"/>
      <c r="L78" s="498"/>
      <c r="M78" s="499"/>
      <c r="N78" s="1044"/>
      <c r="O78" s="1044"/>
      <c r="P78" s="45"/>
      <c r="Q78" s="461"/>
    </row>
    <row r="79" spans="1:17" ht="15" thickBot="1" x14ac:dyDescent="0.25">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 thickTop="1" x14ac:dyDescent="0.2">
      <c r="A80" s="536"/>
      <c r="B80" s="495">
        <f>B25</f>
        <v>111</v>
      </c>
      <c r="C80" s="511"/>
      <c r="D80" s="511"/>
      <c r="E80" s="511"/>
      <c r="F80" s="511"/>
      <c r="G80" s="511"/>
      <c r="H80" s="511"/>
      <c r="I80" s="511"/>
      <c r="J80" s="511"/>
      <c r="K80" s="511"/>
      <c r="L80" s="537"/>
      <c r="M80" s="538"/>
      <c r="N80" s="1043"/>
      <c r="O80" s="1043"/>
      <c r="P80" s="45"/>
      <c r="Q80" s="461"/>
    </row>
    <row r="81" spans="1:17" s="113" customFormat="1" ht="15" thickBot="1" x14ac:dyDescent="0.25">
      <c r="A81" s="536"/>
      <c r="B81" s="500"/>
      <c r="C81" s="517"/>
      <c r="D81" s="493"/>
      <c r="E81" s="493"/>
      <c r="F81" s="493"/>
      <c r="G81" s="493"/>
      <c r="H81" s="493"/>
      <c r="I81" s="493"/>
      <c r="J81" s="493"/>
      <c r="K81" s="493"/>
      <c r="L81" s="493"/>
      <c r="M81" s="494"/>
      <c r="N81" s="1045"/>
      <c r="O81" s="1045"/>
      <c r="P81" s="45"/>
      <c r="Q81" s="461"/>
    </row>
    <row r="82" spans="1:17" s="113" customFormat="1" ht="15" thickTop="1" x14ac:dyDescent="0.2">
      <c r="A82" s="536"/>
      <c r="B82" s="495">
        <f>B26</f>
        <v>111</v>
      </c>
      <c r="C82" s="511"/>
      <c r="D82" s="511"/>
      <c r="E82" s="511"/>
      <c r="F82" s="511"/>
      <c r="G82" s="511"/>
      <c r="H82" s="511"/>
      <c r="I82" s="511"/>
      <c r="J82" s="511"/>
      <c r="K82" s="511"/>
      <c r="L82" s="537"/>
      <c r="M82" s="538"/>
      <c r="N82" s="1043"/>
      <c r="O82" s="1043"/>
      <c r="P82" s="45"/>
      <c r="Q82" s="461"/>
    </row>
    <row r="83" spans="1:17" s="113" customFormat="1" ht="15" thickBot="1" x14ac:dyDescent="0.25">
      <c r="A83" s="536"/>
      <c r="B83" s="500"/>
      <c r="C83" s="517"/>
      <c r="D83" s="493"/>
      <c r="E83" s="493"/>
      <c r="F83" s="493"/>
      <c r="G83" s="493"/>
      <c r="H83" s="493"/>
      <c r="I83" s="493"/>
      <c r="J83" s="493"/>
      <c r="K83" s="493"/>
      <c r="L83" s="493"/>
      <c r="M83" s="494"/>
      <c r="N83" s="1045"/>
      <c r="O83" s="1045"/>
      <c r="P83" s="45"/>
      <c r="Q83" s="461"/>
    </row>
    <row r="84" spans="1:17" s="430" customFormat="1" ht="15" thickTop="1" x14ac:dyDescent="0.2">
      <c r="A84" s="510"/>
      <c r="B84" s="495">
        <f>B27</f>
        <v>111</v>
      </c>
      <c r="C84" s="511"/>
      <c r="D84" s="511"/>
      <c r="E84" s="511"/>
      <c r="F84" s="511"/>
      <c r="G84" s="511"/>
      <c r="H84" s="511"/>
      <c r="I84" s="511"/>
      <c r="J84" s="511"/>
      <c r="K84" s="511"/>
      <c r="L84" s="537"/>
      <c r="M84" s="538"/>
      <c r="N84" s="1046"/>
      <c r="O84" s="1046"/>
      <c r="P84" s="515"/>
      <c r="Q84" s="516"/>
    </row>
    <row r="85" spans="1:17" s="430" customFormat="1" ht="15" thickBot="1" x14ac:dyDescent="0.25">
      <c r="A85" s="510"/>
      <c r="B85" s="500"/>
      <c r="C85" s="517"/>
      <c r="D85" s="493"/>
      <c r="E85" s="493"/>
      <c r="F85" s="493"/>
      <c r="G85" s="493"/>
      <c r="H85" s="493"/>
      <c r="I85" s="493"/>
      <c r="J85" s="493"/>
      <c r="K85" s="493"/>
      <c r="L85" s="493"/>
      <c r="M85" s="494"/>
      <c r="N85" s="1046"/>
      <c r="O85" s="1046"/>
      <c r="P85" s="515"/>
      <c r="Q85" s="516"/>
    </row>
    <row r="86" spans="1:17" ht="15" thickTop="1" x14ac:dyDescent="0.2">
      <c r="A86" s="491"/>
      <c r="B86" s="503">
        <f>B28</f>
        <v>111</v>
      </c>
      <c r="C86" s="480"/>
      <c r="D86" s="480"/>
      <c r="E86" s="480"/>
      <c r="F86" s="480"/>
      <c r="G86" s="544"/>
      <c r="H86" s="544"/>
      <c r="I86" s="544"/>
      <c r="J86" s="544"/>
      <c r="K86" s="545"/>
      <c r="L86" s="546"/>
      <c r="M86" s="547"/>
      <c r="N86" s="1044"/>
      <c r="O86" s="1044"/>
      <c r="P86" s="45"/>
      <c r="Q86" s="461"/>
    </row>
    <row r="87" spans="1:17" ht="15" thickBot="1" x14ac:dyDescent="0.25">
      <c r="A87" s="2064"/>
      <c r="B87" s="526"/>
      <c r="C87" s="527"/>
      <c r="D87" s="527"/>
      <c r="E87" s="527"/>
      <c r="F87" s="527"/>
      <c r="G87" s="548"/>
      <c r="H87" s="548"/>
      <c r="I87" s="548"/>
      <c r="J87" s="548"/>
      <c r="K87" s="548"/>
      <c r="L87" s="548"/>
      <c r="M87" s="549"/>
      <c r="N87" s="1045"/>
      <c r="O87" s="1045"/>
      <c r="P87" s="45"/>
      <c r="Q87" s="461"/>
    </row>
    <row r="88" spans="1:17" x14ac:dyDescent="0.2">
      <c r="A88" s="484" t="s">
        <v>2143</v>
      </c>
      <c r="B88" s="485" t="s">
        <v>2192</v>
      </c>
      <c r="C88" s="487"/>
      <c r="D88" s="487"/>
      <c r="E88" s="487"/>
      <c r="F88" s="487"/>
      <c r="G88" s="487"/>
      <c r="H88" s="487"/>
      <c r="I88" s="487"/>
      <c r="J88" s="487"/>
      <c r="K88" s="488"/>
      <c r="L88" s="489"/>
      <c r="M88" s="490"/>
      <c r="N88" s="1044"/>
      <c r="O88" s="1044"/>
      <c r="P88" s="45"/>
      <c r="Q88" s="461"/>
    </row>
    <row r="89" spans="1:17" ht="15" thickBot="1" x14ac:dyDescent="0.25">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5" thickTop="1" x14ac:dyDescent="0.2">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43"/>
      <c r="O90" s="1043"/>
      <c r="P90" s="45"/>
      <c r="Q90" s="461"/>
    </row>
    <row r="91" spans="1:17" s="430" customFormat="1" x14ac:dyDescent="0.2">
      <c r="A91" s="550"/>
      <c r="B91" s="551"/>
      <c r="C91" s="552"/>
      <c r="D91" s="552"/>
      <c r="E91" s="552"/>
      <c r="F91" s="552"/>
      <c r="G91" s="552"/>
      <c r="H91" s="552"/>
      <c r="I91" s="552"/>
      <c r="J91" s="553"/>
      <c r="K91" s="553"/>
      <c r="L91" s="554"/>
      <c r="M91" s="555"/>
      <c r="N91" s="1046"/>
      <c r="O91" s="1046"/>
      <c r="P91" s="515"/>
      <c r="Q91" s="516"/>
    </row>
    <row r="92" spans="1:17" s="430" customFormat="1" ht="15" thickBot="1" x14ac:dyDescent="0.25">
      <c r="A92" s="510"/>
      <c r="B92" s="500"/>
      <c r="C92" s="517"/>
      <c r="D92" s="493"/>
      <c r="E92" s="493"/>
      <c r="F92" s="493"/>
      <c r="G92" s="493"/>
      <c r="H92" s="493"/>
      <c r="I92" s="493"/>
      <c r="J92" s="493"/>
      <c r="K92" s="493"/>
      <c r="L92" s="493"/>
      <c r="M92" s="494"/>
      <c r="N92" s="1045"/>
      <c r="O92" s="1045"/>
      <c r="P92" s="515"/>
      <c r="Q92" s="516"/>
    </row>
    <row r="93" spans="1:17" ht="15" thickTop="1" x14ac:dyDescent="0.2">
      <c r="A93" s="556"/>
      <c r="B93" s="495" t="s">
        <v>2194</v>
      </c>
      <c r="C93" s="511"/>
      <c r="D93" s="511"/>
      <c r="E93" s="540"/>
      <c r="F93" s="540"/>
      <c r="G93" s="540"/>
      <c r="H93" s="540"/>
      <c r="I93" s="540"/>
      <c r="J93" s="540"/>
      <c r="K93" s="541"/>
      <c r="L93" s="542"/>
      <c r="M93" s="543"/>
      <c r="N93" s="1044"/>
      <c r="O93" s="1044"/>
      <c r="P93" s="45"/>
      <c r="Q93" s="461"/>
    </row>
    <row r="94" spans="1:17" ht="15" thickBot="1" x14ac:dyDescent="0.25">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5" thickTop="1" x14ac:dyDescent="0.2">
      <c r="A95" s="556"/>
      <c r="B95" s="495" t="s">
        <v>2196</v>
      </c>
      <c r="C95" s="511"/>
      <c r="D95" s="511"/>
      <c r="E95" s="511"/>
      <c r="F95" s="540"/>
      <c r="G95" s="540"/>
      <c r="H95" s="540"/>
      <c r="I95" s="540"/>
      <c r="J95" s="540"/>
      <c r="K95" s="541"/>
      <c r="L95" s="542"/>
      <c r="M95" s="543"/>
      <c r="N95" s="1044"/>
      <c r="O95" s="1044"/>
      <c r="P95" s="45"/>
      <c r="Q95" s="461"/>
    </row>
    <row r="96" spans="1:17" ht="15" thickBot="1" x14ac:dyDescent="0.25">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5" thickTop="1" x14ac:dyDescent="0.2">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x14ac:dyDescent="0.2">
      <c r="A98" s="556"/>
      <c r="B98" s="503"/>
      <c r="C98" s="560">
        <v>0.5</v>
      </c>
      <c r="D98" s="560">
        <v>0.6</v>
      </c>
      <c r="E98" s="560">
        <v>0.7</v>
      </c>
      <c r="F98" s="560">
        <v>0.8</v>
      </c>
      <c r="G98" s="560">
        <v>0.9</v>
      </c>
      <c r="H98" s="560">
        <v>1.0001</v>
      </c>
      <c r="I98" s="578"/>
      <c r="J98" s="578"/>
      <c r="K98" s="579"/>
      <c r="L98" s="580"/>
      <c r="M98" s="581"/>
      <c r="N98" s="1044"/>
      <c r="O98" s="1044"/>
      <c r="P98" s="45"/>
      <c r="Q98" s="461"/>
    </row>
    <row r="99" spans="1:17" ht="15" thickBot="1" x14ac:dyDescent="0.25">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5" thickTop="1" x14ac:dyDescent="0.2">
      <c r="A100" s="550"/>
      <c r="B100" s="495" t="s">
        <v>2197</v>
      </c>
      <c r="C100" s="511"/>
      <c r="D100" s="511"/>
      <c r="E100" s="511"/>
      <c r="F100" s="511"/>
      <c r="G100" s="511"/>
      <c r="H100" s="540"/>
      <c r="I100" s="540"/>
      <c r="J100" s="540"/>
      <c r="K100" s="541"/>
      <c r="L100" s="542"/>
      <c r="M100" s="543"/>
      <c r="N100" s="1046"/>
      <c r="O100" s="1046"/>
      <c r="P100" s="515"/>
      <c r="Q100" s="516"/>
    </row>
    <row r="101" spans="1:17" s="430" customFormat="1" ht="15" thickBot="1" x14ac:dyDescent="0.25">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5" thickTop="1" x14ac:dyDescent="0.2">
      <c r="A102" s="556"/>
      <c r="B102" s="495" t="s">
        <v>2198</v>
      </c>
      <c r="C102" s="511"/>
      <c r="D102" s="511"/>
      <c r="E102" s="511"/>
      <c r="F102" s="511"/>
      <c r="G102" s="511"/>
      <c r="H102" s="540"/>
      <c r="I102" s="540"/>
      <c r="J102" s="540"/>
      <c r="K102" s="541"/>
      <c r="L102" s="542"/>
      <c r="M102" s="543"/>
      <c r="N102" s="1044"/>
      <c r="O102" s="1044"/>
      <c r="P102" s="45"/>
      <c r="Q102" s="461"/>
    </row>
    <row r="103" spans="1:17" ht="15" thickBot="1" x14ac:dyDescent="0.25">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5" thickTop="1" x14ac:dyDescent="0.2">
      <c r="A104" s="556"/>
      <c r="B104" s="495" t="s">
        <v>2200</v>
      </c>
      <c r="C104" s="511"/>
      <c r="D104" s="511"/>
      <c r="E104" s="511"/>
      <c r="F104" s="511"/>
      <c r="G104" s="511"/>
      <c r="H104" s="540"/>
      <c r="I104" s="540"/>
      <c r="J104" s="540"/>
      <c r="K104" s="541"/>
      <c r="L104" s="542"/>
      <c r="M104" s="543"/>
      <c r="N104" s="1044"/>
      <c r="O104" s="1044"/>
      <c r="P104" s="45"/>
      <c r="Q104" s="461"/>
    </row>
    <row r="105" spans="1:17" ht="15" thickBot="1" x14ac:dyDescent="0.25">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5" thickTop="1" x14ac:dyDescent="0.2">
      <c r="A106" s="556"/>
      <c r="B106" s="591" t="s">
        <v>2286</v>
      </c>
      <c r="C106" s="535" t="s">
        <v>2177</v>
      </c>
      <c r="D106" s="535" t="s">
        <v>2178</v>
      </c>
      <c r="E106" s="535" t="s">
        <v>2179</v>
      </c>
      <c r="F106" s="535" t="s">
        <v>2180</v>
      </c>
      <c r="G106" s="535" t="s">
        <v>2181</v>
      </c>
      <c r="H106" s="496"/>
      <c r="I106" s="496"/>
      <c r="J106" s="496"/>
      <c r="K106" s="497"/>
      <c r="L106" s="498"/>
      <c r="M106" s="499"/>
      <c r="N106" s="1045"/>
      <c r="O106" s="1045"/>
      <c r="P106" s="592"/>
      <c r="Q106" s="593"/>
    </row>
    <row r="107" spans="1:17" ht="15" thickBot="1" x14ac:dyDescent="0.25">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x14ac:dyDescent="0.2">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 thickBot="1" x14ac:dyDescent="0.25">
      <c r="A109" s="510"/>
      <c r="B109" s="492"/>
      <c r="C109" s="517"/>
      <c r="D109" s="493"/>
      <c r="E109" s="493"/>
      <c r="F109" s="493"/>
      <c r="G109" s="517"/>
      <c r="H109" s="519"/>
      <c r="I109" s="519"/>
      <c r="J109" s="519"/>
      <c r="K109" s="519"/>
      <c r="L109" s="519"/>
      <c r="M109" s="520"/>
      <c r="N109" s="1046"/>
      <c r="O109" s="1046"/>
      <c r="P109" s="515"/>
      <c r="Q109" s="516"/>
    </row>
    <row r="110" spans="1:17" ht="15" thickTop="1" x14ac:dyDescent="0.2">
      <c r="A110" s="556"/>
      <c r="B110" s="495">
        <f>B39</f>
        <v>111</v>
      </c>
      <c r="C110" s="511"/>
      <c r="D110" s="511"/>
      <c r="E110" s="511"/>
      <c r="F110" s="511"/>
      <c r="G110" s="511"/>
      <c r="H110" s="512"/>
      <c r="I110" s="512"/>
      <c r="J110" s="512"/>
      <c r="K110" s="512"/>
      <c r="L110" s="513"/>
      <c r="M110" s="514"/>
      <c r="N110" s="1044"/>
      <c r="O110" s="1044"/>
      <c r="P110" s="45"/>
      <c r="Q110" s="461"/>
    </row>
    <row r="111" spans="1:17" ht="15" thickBot="1" x14ac:dyDescent="0.25">
      <c r="A111" s="491"/>
      <c r="B111" s="500"/>
      <c r="C111" s="517"/>
      <c r="D111" s="493"/>
      <c r="E111" s="493"/>
      <c r="F111" s="493"/>
      <c r="G111" s="517"/>
      <c r="H111" s="519"/>
      <c r="I111" s="519"/>
      <c r="J111" s="519"/>
      <c r="K111" s="519"/>
      <c r="L111" s="519"/>
      <c r="M111" s="520"/>
      <c r="N111" s="1045"/>
      <c r="O111" s="1045"/>
      <c r="P111" s="45"/>
      <c r="Q111" s="461"/>
    </row>
    <row r="112" spans="1:17" ht="15" thickTop="1" x14ac:dyDescent="0.2">
      <c r="A112" s="556"/>
      <c r="B112" s="503">
        <f>B40</f>
        <v>111</v>
      </c>
      <c r="C112" s="480"/>
      <c r="D112" s="480"/>
      <c r="E112" s="480"/>
      <c r="F112" s="480"/>
      <c r="G112" s="544"/>
      <c r="H112" s="544"/>
      <c r="I112" s="544"/>
      <c r="J112" s="544"/>
      <c r="K112" s="480"/>
      <c r="L112" s="481"/>
      <c r="M112" s="547"/>
      <c r="N112" s="1044"/>
      <c r="O112" s="1044"/>
      <c r="P112" s="45"/>
      <c r="Q112" s="461"/>
    </row>
    <row r="113" spans="1:17" ht="15" thickBot="1" x14ac:dyDescent="0.25">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view="pageBreakPreview" topLeftCell="A5" zoomScale="60" zoomScaleNormal="60" workbookViewId="0">
      <selection activeCell="F7" sqref="F7:F36"/>
    </sheetView>
  </sheetViews>
  <sheetFormatPr baseColWidth="10" defaultColWidth="9" defaultRowHeight="14" x14ac:dyDescent="0.2"/>
  <cols>
    <col min="1" max="1" width="10.5" style="363" customWidth="1"/>
    <col min="2" max="2" width="15.66406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5.5" style="363" customWidth="1"/>
    <col min="10" max="10" width="12.1640625" style="363" customWidth="1"/>
    <col min="11" max="11" width="12.1640625" style="452" customWidth="1"/>
    <col min="12" max="12" width="12.1640625" style="453" customWidth="1"/>
    <col min="13" max="15" width="12.1640625" style="363" customWidth="1"/>
    <col min="16" max="16" width="4.6640625" style="1017"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353" customFormat="1" ht="28.5" customHeight="1" thickBot="1" x14ac:dyDescent="0.25">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x14ac:dyDescent="0.2">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8" customFormat="1" ht="28.5" customHeight="1" thickBot="1" x14ac:dyDescent="0.25">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x14ac:dyDescent="0.2">
      <c r="A4" s="361" t="s">
        <v>2225</v>
      </c>
      <c r="B4" s="362"/>
      <c r="C4" s="3679" t="s">
        <v>2226</v>
      </c>
      <c r="D4" s="3680"/>
      <c r="E4" s="3681" t="s">
        <v>2227</v>
      </c>
      <c r="F4" s="3682"/>
      <c r="G4" s="3679" t="s">
        <v>2228</v>
      </c>
      <c r="H4" s="3680"/>
      <c r="I4" s="3679" t="s">
        <v>2229</v>
      </c>
      <c r="J4" s="3680"/>
      <c r="K4" s="567" t="s">
        <v>2230</v>
      </c>
      <c r="L4" s="2893"/>
      <c r="M4" s="2894"/>
      <c r="N4" s="2894"/>
      <c r="O4" s="2894"/>
      <c r="P4" s="3683" t="s">
        <v>2231</v>
      </c>
      <c r="Q4" s="3684"/>
      <c r="R4" s="3689" t="s">
        <v>2227</v>
      </c>
      <c r="S4" s="3690"/>
      <c r="T4" s="3689" t="s">
        <v>2228</v>
      </c>
      <c r="U4" s="3690"/>
      <c r="V4" s="3695" t="s">
        <v>2229</v>
      </c>
      <c r="W4" s="3695"/>
      <c r="X4" s="1489"/>
      <c r="Y4" s="3689" t="s">
        <v>2231</v>
      </c>
      <c r="Z4" s="3690"/>
      <c r="AA4" s="3676" t="s">
        <v>2227</v>
      </c>
      <c r="AB4" s="3677" t="s">
        <v>2228</v>
      </c>
      <c r="AC4" s="3676" t="s">
        <v>2229</v>
      </c>
    </row>
    <row r="5" spans="1:29" x14ac:dyDescent="0.2">
      <c r="A5" s="364"/>
      <c r="B5" s="365"/>
      <c r="C5" s="3698" t="s">
        <v>2122</v>
      </c>
      <c r="D5" s="3699"/>
      <c r="E5" s="3705" t="s">
        <v>2123</v>
      </c>
      <c r="F5" s="3706"/>
      <c r="G5" s="3698" t="s">
        <v>2124</v>
      </c>
      <c r="H5" s="3699"/>
      <c r="I5" s="3698" t="s">
        <v>2125</v>
      </c>
      <c r="J5" s="3699"/>
      <c r="K5" s="567"/>
      <c r="L5" s="2893"/>
      <c r="M5" s="2894"/>
      <c r="N5" s="2894"/>
      <c r="O5" s="2894"/>
      <c r="P5" s="3685"/>
      <c r="Q5" s="3686"/>
      <c r="R5" s="3691"/>
      <c r="S5" s="3692"/>
      <c r="T5" s="3691"/>
      <c r="U5" s="3692"/>
      <c r="V5" s="3695"/>
      <c r="W5" s="3695"/>
      <c r="X5" s="1489"/>
      <c r="Y5" s="3691"/>
      <c r="Z5" s="3692"/>
      <c r="AA5" s="3677"/>
      <c r="AB5" s="3677"/>
      <c r="AC5" s="3677"/>
    </row>
    <row r="6" spans="1:29" ht="15" thickBot="1" x14ac:dyDescent="0.25">
      <c r="A6" s="366"/>
      <c r="B6" s="367"/>
      <c r="C6" s="3696" t="s">
        <v>2126</v>
      </c>
      <c r="D6" s="3697"/>
      <c r="E6" s="3703" t="s">
        <v>2126</v>
      </c>
      <c r="F6" s="3704"/>
      <c r="G6" s="3696" t="s">
        <v>2126</v>
      </c>
      <c r="H6" s="3697"/>
      <c r="I6" s="3696" t="s">
        <v>2126</v>
      </c>
      <c r="J6" s="3697"/>
      <c r="K6" s="567" t="s">
        <v>2127</v>
      </c>
      <c r="L6" s="2893"/>
      <c r="M6" s="2894"/>
      <c r="N6" s="2894"/>
      <c r="O6" s="2894"/>
      <c r="P6" s="3687"/>
      <c r="Q6" s="3688"/>
      <c r="R6" s="3691"/>
      <c r="S6" s="3692"/>
      <c r="T6" s="3693"/>
      <c r="U6" s="3694"/>
      <c r="V6" s="3695"/>
      <c r="W6" s="3695"/>
      <c r="X6" s="1489"/>
      <c r="Y6" s="3693"/>
      <c r="Z6" s="3694"/>
      <c r="AA6" s="3678"/>
      <c r="AB6" s="3678"/>
      <c r="AC6" s="3678"/>
    </row>
    <row r="7" spans="1:29" s="113" customFormat="1" ht="15" thickBot="1" x14ac:dyDescent="0.25">
      <c r="A7" s="368" t="s">
        <v>2128</v>
      </c>
      <c r="B7" s="369"/>
      <c r="C7" s="370">
        <f>'数据-取费表'!B2</f>
        <v>44868</v>
      </c>
      <c r="D7" s="371">
        <v>100</v>
      </c>
      <c r="E7" s="372"/>
      <c r="F7" s="373">
        <f>SUMIF(48:48,YEAR(E7)&amp;"-"&amp;MONTH(E7),49:49)</f>
        <v>0</v>
      </c>
      <c r="G7" s="372"/>
      <c r="H7" s="371">
        <f>SUMIF(48:48,YEAR(G7)&amp;"-"&amp;MONTH(G7),49:49)</f>
        <v>0</v>
      </c>
      <c r="I7" s="372"/>
      <c r="J7" s="371">
        <f>SUMIF(48:48,YEAR(I7)&amp;"-"&amp;MONTH(I7),49:49)</f>
        <v>0</v>
      </c>
      <c r="K7" s="568"/>
      <c r="L7" s="2895"/>
      <c r="M7" s="2896"/>
      <c r="N7" s="2896"/>
      <c r="O7" s="2896"/>
      <c r="P7" s="3700" t="s">
        <v>2129</v>
      </c>
      <c r="Q7" s="3702"/>
      <c r="R7" s="709" t="s">
        <v>17</v>
      </c>
      <c r="S7" s="710">
        <f t="shared" ref="S7:S14" si="0">F7</f>
        <v>0</v>
      </c>
      <c r="T7" s="709" t="s">
        <v>17</v>
      </c>
      <c r="U7" s="710">
        <f t="shared" ref="U7:U14" si="1">H7</f>
        <v>0</v>
      </c>
      <c r="V7" s="709" t="s">
        <v>17</v>
      </c>
      <c r="W7" s="710">
        <f t="shared" ref="W7:W14" si="2">J7</f>
        <v>0</v>
      </c>
      <c r="X7" s="711"/>
      <c r="Y7" s="3700" t="s">
        <v>2129</v>
      </c>
      <c r="Z7" s="3701"/>
      <c r="AA7" s="712" t="e">
        <f>D7/F7</f>
        <v>#DIV/0!</v>
      </c>
      <c r="AB7" s="712" t="e">
        <f>D7/H7</f>
        <v>#DIV/0!</v>
      </c>
      <c r="AC7" s="712" t="e">
        <f>D7/J7</f>
        <v>#DIV/0!</v>
      </c>
    </row>
    <row r="8" spans="1:29" s="113" customFormat="1" ht="15" thickBot="1" x14ac:dyDescent="0.25">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700" t="s">
        <v>2132</v>
      </c>
      <c r="Q8" s="3701"/>
      <c r="R8" s="709" t="s">
        <v>17</v>
      </c>
      <c r="S8" s="710">
        <f t="shared" si="0"/>
        <v>0</v>
      </c>
      <c r="T8" s="709" t="s">
        <v>17</v>
      </c>
      <c r="U8" s="710">
        <f t="shared" si="1"/>
        <v>0</v>
      </c>
      <c r="V8" s="709" t="s">
        <v>17</v>
      </c>
      <c r="W8" s="710">
        <f t="shared" si="2"/>
        <v>0</v>
      </c>
      <c r="X8" s="711"/>
      <c r="Y8" s="3700" t="s">
        <v>2132</v>
      </c>
      <c r="Z8" s="3701"/>
      <c r="AA8" s="712" t="e">
        <f t="shared" ref="AA8:AA36" si="3">D8/F8</f>
        <v>#DIV/0!</v>
      </c>
      <c r="AB8" s="712" t="e">
        <f t="shared" ref="AB8:AB36" si="4">D8/H8</f>
        <v>#DIV/0!</v>
      </c>
      <c r="AC8" s="712" t="e">
        <f t="shared" ref="AC8:AC36" si="5">D8/J8</f>
        <v>#DIV/0!</v>
      </c>
    </row>
    <row r="9" spans="1:29" s="113" customFormat="1" x14ac:dyDescent="0.2">
      <c r="A9" s="64" t="s">
        <v>2133</v>
      </c>
      <c r="B9" s="595"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664" t="s">
        <v>2135</v>
      </c>
      <c r="Q9" s="1477" t="str">
        <f t="shared" ref="Q9:Q14" si="6">B9</f>
        <v>用途</v>
      </c>
      <c r="R9" s="709" t="s">
        <v>17</v>
      </c>
      <c r="S9" s="710">
        <f t="shared" si="0"/>
        <v>100</v>
      </c>
      <c r="T9" s="709" t="s">
        <v>17</v>
      </c>
      <c r="U9" s="710">
        <f t="shared" si="1"/>
        <v>100</v>
      </c>
      <c r="V9" s="709" t="s">
        <v>17</v>
      </c>
      <c r="W9" s="710">
        <f t="shared" si="2"/>
        <v>100</v>
      </c>
      <c r="X9" s="711"/>
      <c r="Y9" s="3536" t="s">
        <v>2136</v>
      </c>
      <c r="Z9" s="55" t="str">
        <f t="shared" ref="Z9:Z14" si="7">Q9</f>
        <v>用途</v>
      </c>
      <c r="AA9" s="712">
        <f t="shared" si="3"/>
        <v>1</v>
      </c>
      <c r="AB9" s="712">
        <f t="shared" si="4"/>
        <v>1</v>
      </c>
      <c r="AC9" s="712">
        <f t="shared" si="5"/>
        <v>1</v>
      </c>
    </row>
    <row r="10" spans="1:29" s="386" customFormat="1" ht="28" x14ac:dyDescent="0.2">
      <c r="A10" s="596"/>
      <c r="B10" s="597"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664"/>
      <c r="Q10" s="1477" t="str">
        <f t="shared" si="6"/>
        <v>土地使用年限（年）</v>
      </c>
      <c r="R10" s="709" t="s">
        <v>17</v>
      </c>
      <c r="S10" s="710">
        <f t="shared" si="0"/>
        <v>100</v>
      </c>
      <c r="T10" s="709" t="s">
        <v>17</v>
      </c>
      <c r="U10" s="710">
        <f t="shared" si="1"/>
        <v>100</v>
      </c>
      <c r="V10" s="709" t="s">
        <v>17</v>
      </c>
      <c r="W10" s="710">
        <f t="shared" si="2"/>
        <v>100</v>
      </c>
      <c r="X10" s="711"/>
      <c r="Y10" s="3536"/>
      <c r="Z10" s="55" t="str">
        <f t="shared" si="7"/>
        <v>土地使用年限（年）</v>
      </c>
      <c r="AA10" s="712">
        <f t="shared" si="3"/>
        <v>1</v>
      </c>
      <c r="AB10" s="712">
        <f t="shared" si="4"/>
        <v>1</v>
      </c>
      <c r="AC10" s="712">
        <f t="shared" si="5"/>
        <v>1</v>
      </c>
    </row>
    <row r="11" spans="1:29" ht="16" x14ac:dyDescent="0.2">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664"/>
      <c r="Q11" s="1477">
        <f t="shared" si="6"/>
        <v>111</v>
      </c>
      <c r="R11" s="709" t="s">
        <v>17</v>
      </c>
      <c r="S11" s="710">
        <f t="shared" si="0"/>
        <v>100</v>
      </c>
      <c r="T11" s="709" t="s">
        <v>17</v>
      </c>
      <c r="U11" s="710">
        <f t="shared" si="1"/>
        <v>100</v>
      </c>
      <c r="V11" s="709" t="s">
        <v>17</v>
      </c>
      <c r="W11" s="710">
        <f t="shared" si="2"/>
        <v>100</v>
      </c>
      <c r="X11" s="711"/>
      <c r="Y11" s="3536"/>
      <c r="Z11" s="55">
        <f t="shared" si="7"/>
        <v>111</v>
      </c>
      <c r="AA11" s="712">
        <f t="shared" si="3"/>
        <v>1</v>
      </c>
      <c r="AB11" s="712">
        <f t="shared" si="4"/>
        <v>1</v>
      </c>
      <c r="AC11" s="712">
        <f t="shared" si="5"/>
        <v>1</v>
      </c>
    </row>
    <row r="12" spans="1:29" s="113" customFormat="1" ht="16" x14ac:dyDescent="0.2">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664"/>
      <c r="Q12" s="1477">
        <f t="shared" si="6"/>
        <v>111</v>
      </c>
      <c r="R12" s="709" t="s">
        <v>17</v>
      </c>
      <c r="S12" s="710">
        <f t="shared" si="0"/>
        <v>100</v>
      </c>
      <c r="T12" s="709" t="s">
        <v>17</v>
      </c>
      <c r="U12" s="710">
        <f t="shared" si="1"/>
        <v>100</v>
      </c>
      <c r="V12" s="709" t="s">
        <v>17</v>
      </c>
      <c r="W12" s="710">
        <f t="shared" si="2"/>
        <v>100</v>
      </c>
      <c r="X12" s="711"/>
      <c r="Y12" s="3536"/>
      <c r="Z12" s="55">
        <f t="shared" si="7"/>
        <v>111</v>
      </c>
      <c r="AA12" s="712">
        <f>D12/F12</f>
        <v>1</v>
      </c>
      <c r="AB12" s="712">
        <f>D12/H12</f>
        <v>1</v>
      </c>
      <c r="AC12" s="712">
        <f>D12/J12</f>
        <v>1</v>
      </c>
    </row>
    <row r="13" spans="1:29" ht="17" thickBot="1" x14ac:dyDescent="0.25">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664"/>
      <c r="Q13" s="1477">
        <f t="shared" si="6"/>
        <v>111</v>
      </c>
      <c r="R13" s="709" t="s">
        <v>17</v>
      </c>
      <c r="S13" s="710">
        <f t="shared" si="0"/>
        <v>100</v>
      </c>
      <c r="T13" s="709" t="s">
        <v>17</v>
      </c>
      <c r="U13" s="710">
        <f t="shared" si="1"/>
        <v>100</v>
      </c>
      <c r="V13" s="709" t="s">
        <v>17</v>
      </c>
      <c r="W13" s="710">
        <f t="shared" si="2"/>
        <v>100</v>
      </c>
      <c r="X13" s="711"/>
      <c r="Y13" s="3536"/>
      <c r="Z13" s="55">
        <f t="shared" si="7"/>
        <v>111</v>
      </c>
      <c r="AA13" s="712">
        <f t="shared" si="3"/>
        <v>1</v>
      </c>
      <c r="AB13" s="712">
        <f t="shared" si="4"/>
        <v>1</v>
      </c>
      <c r="AC13" s="712">
        <f t="shared" si="5"/>
        <v>1</v>
      </c>
    </row>
    <row r="14" spans="1:29" ht="84" x14ac:dyDescent="0.2">
      <c r="A14" s="361" t="s">
        <v>2139</v>
      </c>
      <c r="B14" s="584"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666" t="s">
        <v>2140</v>
      </c>
      <c r="Q14" s="1486" t="str">
        <f t="shared" si="6"/>
        <v>交通便捷度</v>
      </c>
      <c r="R14" s="713" t="s">
        <v>17</v>
      </c>
      <c r="S14" s="714">
        <f t="shared" si="0"/>
        <v>100</v>
      </c>
      <c r="T14" s="713" t="s">
        <v>17</v>
      </c>
      <c r="U14" s="714">
        <f t="shared" si="1"/>
        <v>100</v>
      </c>
      <c r="V14" s="713" t="s">
        <v>17</v>
      </c>
      <c r="W14" s="714">
        <f t="shared" si="2"/>
        <v>100</v>
      </c>
      <c r="X14" s="1489"/>
      <c r="Y14" s="3666" t="s">
        <v>2140</v>
      </c>
      <c r="Z14" s="1490" t="str">
        <f t="shared" si="7"/>
        <v>交通便捷度</v>
      </c>
      <c r="AA14" s="1487">
        <f t="shared" si="3"/>
        <v>1</v>
      </c>
      <c r="AB14" s="1487">
        <f t="shared" si="4"/>
        <v>1</v>
      </c>
      <c r="AC14" s="1487">
        <f t="shared" si="5"/>
        <v>1</v>
      </c>
    </row>
    <row r="15" spans="1:29" ht="16" x14ac:dyDescent="0.2">
      <c r="A15" s="364"/>
      <c r="B15" s="602"/>
      <c r="C15" s="406"/>
      <c r="D15" s="407"/>
      <c r="E15" s="406"/>
      <c r="F15" s="408"/>
      <c r="G15" s="406"/>
      <c r="H15" s="409"/>
      <c r="I15" s="406"/>
      <c r="J15" s="407"/>
      <c r="K15" s="572"/>
      <c r="L15" s="2900"/>
      <c r="M15" s="2894"/>
      <c r="N15" s="2894"/>
      <c r="O15" s="2894"/>
      <c r="P15" s="3667"/>
      <c r="Q15" s="1486"/>
      <c r="R15" s="713"/>
      <c r="S15" s="714"/>
      <c r="T15" s="713"/>
      <c r="U15" s="714"/>
      <c r="V15" s="713"/>
      <c r="W15" s="714"/>
      <c r="X15" s="1489"/>
      <c r="Y15" s="3667"/>
      <c r="Z15" s="1490"/>
      <c r="AA15" s="1487">
        <v>1</v>
      </c>
      <c r="AB15" s="1487">
        <v>1</v>
      </c>
      <c r="AC15" s="1487">
        <v>1</v>
      </c>
    </row>
    <row r="16" spans="1:29" ht="42" x14ac:dyDescent="0.2">
      <c r="A16" s="364"/>
      <c r="B16" s="586"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667"/>
      <c r="Q16" s="1486" t="str">
        <f>B16</f>
        <v>公共配套设施</v>
      </c>
      <c r="R16" s="713" t="s">
        <v>17</v>
      </c>
      <c r="S16" s="714">
        <f>F16</f>
        <v>100</v>
      </c>
      <c r="T16" s="713" t="s">
        <v>17</v>
      </c>
      <c r="U16" s="714">
        <f>H16</f>
        <v>100</v>
      </c>
      <c r="V16" s="713" t="s">
        <v>17</v>
      </c>
      <c r="W16" s="714">
        <f>J16</f>
        <v>100</v>
      </c>
      <c r="X16" s="1489"/>
      <c r="Y16" s="3667"/>
      <c r="Z16" s="1490" t="str">
        <f>Q16</f>
        <v>公共配套设施</v>
      </c>
      <c r="AA16" s="1487">
        <f t="shared" si="3"/>
        <v>1</v>
      </c>
      <c r="AB16" s="1487">
        <f t="shared" si="4"/>
        <v>1</v>
      </c>
      <c r="AC16" s="1487">
        <f t="shared" si="5"/>
        <v>1</v>
      </c>
    </row>
    <row r="17" spans="1:29" ht="16" x14ac:dyDescent="0.2">
      <c r="A17" s="364"/>
      <c r="B17" s="587"/>
      <c r="C17" s="2037"/>
      <c r="D17" s="407"/>
      <c r="E17" s="406"/>
      <c r="F17" s="408"/>
      <c r="G17" s="406"/>
      <c r="H17" s="407"/>
      <c r="I17" s="406"/>
      <c r="J17" s="407"/>
      <c r="K17" s="572"/>
      <c r="L17" s="2900"/>
      <c r="M17" s="2894"/>
      <c r="N17" s="2894"/>
      <c r="O17" s="2894"/>
      <c r="P17" s="3667"/>
      <c r="Q17" s="1486"/>
      <c r="R17" s="713"/>
      <c r="S17" s="714"/>
      <c r="T17" s="713"/>
      <c r="U17" s="714"/>
      <c r="V17" s="713"/>
      <c r="W17" s="714"/>
      <c r="X17" s="1489"/>
      <c r="Y17" s="3667"/>
      <c r="Z17" s="1490"/>
      <c r="AA17" s="1487">
        <v>1</v>
      </c>
      <c r="AB17" s="1487">
        <v>1</v>
      </c>
      <c r="AC17" s="1487">
        <v>1</v>
      </c>
    </row>
    <row r="18" spans="1:29" ht="28" x14ac:dyDescent="0.2">
      <c r="A18" s="364"/>
      <c r="B18" s="588"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667"/>
      <c r="Q18" s="1486" t="str">
        <f>B18</f>
        <v>基础设施水平</v>
      </c>
      <c r="R18" s="713" t="s">
        <v>17</v>
      </c>
      <c r="S18" s="714">
        <f>F18</f>
        <v>100</v>
      </c>
      <c r="T18" s="713" t="s">
        <v>17</v>
      </c>
      <c r="U18" s="714">
        <f>H18</f>
        <v>100</v>
      </c>
      <c r="V18" s="713" t="s">
        <v>17</v>
      </c>
      <c r="W18" s="714">
        <f>J18</f>
        <v>100</v>
      </c>
      <c r="X18" s="1489"/>
      <c r="Y18" s="3667"/>
      <c r="Z18" s="1490" t="str">
        <f>Q18</f>
        <v>基础设施水平</v>
      </c>
      <c r="AA18" s="1487">
        <f t="shared" ref="AA18" si="8">D18/F18</f>
        <v>1</v>
      </c>
      <c r="AB18" s="1487">
        <f t="shared" ref="AB18" si="9">D18/H18</f>
        <v>1</v>
      </c>
      <c r="AC18" s="1487">
        <f t="shared" ref="AC18" si="10">D18/J18</f>
        <v>1</v>
      </c>
    </row>
    <row r="19" spans="1:29" ht="16" x14ac:dyDescent="0.2">
      <c r="A19" s="364"/>
      <c r="B19" s="588"/>
      <c r="C19" s="2037"/>
      <c r="D19" s="409"/>
      <c r="E19" s="2037"/>
      <c r="F19" s="412"/>
      <c r="G19" s="2037"/>
      <c r="H19" s="407"/>
      <c r="I19" s="406"/>
      <c r="J19" s="407"/>
      <c r="K19" s="1244"/>
      <c r="L19" s="2900"/>
      <c r="M19" s="2894"/>
      <c r="N19" s="2894"/>
      <c r="O19" s="2894"/>
      <c r="P19" s="3667"/>
      <c r="Q19" s="1486"/>
      <c r="R19" s="713"/>
      <c r="S19" s="714"/>
      <c r="T19" s="713"/>
      <c r="U19" s="714"/>
      <c r="V19" s="713"/>
      <c r="W19" s="714"/>
      <c r="X19" s="1489"/>
      <c r="Y19" s="3667"/>
      <c r="Z19" s="1490"/>
      <c r="AA19" s="1487">
        <v>1</v>
      </c>
      <c r="AB19" s="1487">
        <v>1</v>
      </c>
      <c r="AC19" s="1487">
        <v>1</v>
      </c>
    </row>
    <row r="20" spans="1:29" ht="56" x14ac:dyDescent="0.2">
      <c r="A20" s="364"/>
      <c r="B20" s="586"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667"/>
      <c r="Q20" s="1486" t="str">
        <f>B20</f>
        <v>自然及人文环境</v>
      </c>
      <c r="R20" s="713" t="s">
        <v>17</v>
      </c>
      <c r="S20" s="714">
        <f>F20</f>
        <v>100</v>
      </c>
      <c r="T20" s="713" t="s">
        <v>17</v>
      </c>
      <c r="U20" s="714">
        <f>H20</f>
        <v>100</v>
      </c>
      <c r="V20" s="713" t="s">
        <v>17</v>
      </c>
      <c r="W20" s="714">
        <f>J20</f>
        <v>100</v>
      </c>
      <c r="X20" s="1489"/>
      <c r="Y20" s="3667"/>
      <c r="Z20" s="1490" t="str">
        <f>Q20</f>
        <v>自然及人文环境</v>
      </c>
      <c r="AA20" s="1487">
        <f t="shared" si="3"/>
        <v>1</v>
      </c>
      <c r="AB20" s="1487">
        <f t="shared" si="4"/>
        <v>1</v>
      </c>
      <c r="AC20" s="1487">
        <f t="shared" si="5"/>
        <v>1</v>
      </c>
    </row>
    <row r="21" spans="1:29" ht="16" x14ac:dyDescent="0.2">
      <c r="A21" s="364"/>
      <c r="B21" s="587"/>
      <c r="C21" s="406"/>
      <c r="D21" s="407"/>
      <c r="E21" s="406"/>
      <c r="F21" s="408"/>
      <c r="G21" s="406"/>
      <c r="H21" s="407"/>
      <c r="I21" s="406"/>
      <c r="J21" s="407"/>
      <c r="K21" s="572"/>
      <c r="L21" s="2900"/>
      <c r="M21" s="2894"/>
      <c r="N21" s="2894"/>
      <c r="O21" s="2894"/>
      <c r="P21" s="3667"/>
      <c r="Q21" s="1486"/>
      <c r="R21" s="713"/>
      <c r="S21" s="714"/>
      <c r="T21" s="713"/>
      <c r="U21" s="714"/>
      <c r="V21" s="713"/>
      <c r="W21" s="714"/>
      <c r="X21" s="1489"/>
      <c r="Y21" s="3667"/>
      <c r="Z21" s="1490"/>
      <c r="AA21" s="1487">
        <v>1</v>
      </c>
      <c r="AB21" s="1487">
        <v>1</v>
      </c>
      <c r="AC21" s="1487">
        <v>1</v>
      </c>
    </row>
    <row r="22" spans="1:29" ht="16" x14ac:dyDescent="0.2">
      <c r="A22" s="364"/>
      <c r="B22" s="586"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667"/>
      <c r="Q22" s="1486" t="str">
        <f>B22</f>
        <v>楼层</v>
      </c>
      <c r="R22" s="713" t="s">
        <v>17</v>
      </c>
      <c r="S22" s="714">
        <f>F22</f>
        <v>100</v>
      </c>
      <c r="T22" s="713" t="s">
        <v>17</v>
      </c>
      <c r="U22" s="714">
        <f>H22</f>
        <v>100</v>
      </c>
      <c r="V22" s="713" t="s">
        <v>17</v>
      </c>
      <c r="W22" s="714">
        <f>J22</f>
        <v>100</v>
      </c>
      <c r="X22" s="1489"/>
      <c r="Y22" s="3667"/>
      <c r="Z22" s="1490" t="str">
        <f>Q22</f>
        <v>楼层</v>
      </c>
      <c r="AA22" s="1487">
        <f t="shared" si="3"/>
        <v>1</v>
      </c>
      <c r="AB22" s="1487">
        <f t="shared" si="4"/>
        <v>1</v>
      </c>
      <c r="AC22" s="1487">
        <f t="shared" si="5"/>
        <v>1</v>
      </c>
    </row>
    <row r="23" spans="1:29" ht="16" x14ac:dyDescent="0.2">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667"/>
      <c r="Q23" s="1486">
        <f>B23</f>
        <v>111</v>
      </c>
      <c r="R23" s="713" t="s">
        <v>17</v>
      </c>
      <c r="S23" s="714">
        <f>F23</f>
        <v>100</v>
      </c>
      <c r="T23" s="713" t="s">
        <v>17</v>
      </c>
      <c r="U23" s="714">
        <f>H23</f>
        <v>100</v>
      </c>
      <c r="V23" s="713" t="s">
        <v>17</v>
      </c>
      <c r="W23" s="714">
        <f>J23</f>
        <v>100</v>
      </c>
      <c r="X23" s="1489"/>
      <c r="Y23" s="3667"/>
      <c r="Z23" s="1490">
        <f>Q23</f>
        <v>111</v>
      </c>
      <c r="AA23" s="1487">
        <f t="shared" si="3"/>
        <v>1</v>
      </c>
      <c r="AB23" s="1487">
        <f t="shared" si="4"/>
        <v>1</v>
      </c>
      <c r="AC23" s="1487">
        <f t="shared" si="5"/>
        <v>1</v>
      </c>
    </row>
    <row r="24" spans="1:29" ht="16" x14ac:dyDescent="0.2">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667"/>
      <c r="Q24" s="1486">
        <f t="shared" ref="Q24:Q36" si="11">B24</f>
        <v>111</v>
      </c>
      <c r="R24" s="713" t="s">
        <v>17</v>
      </c>
      <c r="S24" s="714">
        <f>F24</f>
        <v>100</v>
      </c>
      <c r="T24" s="713" t="s">
        <v>17</v>
      </c>
      <c r="U24" s="714">
        <f>H24</f>
        <v>100</v>
      </c>
      <c r="V24" s="713" t="s">
        <v>17</v>
      </c>
      <c r="W24" s="714">
        <f>J24</f>
        <v>100</v>
      </c>
      <c r="X24" s="1489"/>
      <c r="Y24" s="3667"/>
      <c r="Z24" s="1490">
        <f>Q24</f>
        <v>111</v>
      </c>
      <c r="AA24" s="1487">
        <f t="shared" si="3"/>
        <v>1</v>
      </c>
      <c r="AB24" s="1487">
        <f t="shared" si="4"/>
        <v>1</v>
      </c>
      <c r="AC24" s="1487">
        <f t="shared" si="5"/>
        <v>1</v>
      </c>
    </row>
    <row r="25" spans="1:29" s="113" customFormat="1" ht="17" thickBot="1" x14ac:dyDescent="0.25">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895"/>
      <c r="M25" s="2896"/>
      <c r="N25" s="2896"/>
      <c r="O25" s="2896"/>
      <c r="P25" s="3667"/>
      <c r="Q25" s="1477">
        <f t="shared" si="11"/>
        <v>111</v>
      </c>
      <c r="R25" s="709" t="s">
        <v>17</v>
      </c>
      <c r="S25" s="710">
        <f>F25</f>
        <v>100</v>
      </c>
      <c r="T25" s="709" t="s">
        <v>17</v>
      </c>
      <c r="U25" s="710">
        <f>H25</f>
        <v>100</v>
      </c>
      <c r="V25" s="709" t="s">
        <v>17</v>
      </c>
      <c r="W25" s="710">
        <f>J25</f>
        <v>100</v>
      </c>
      <c r="X25" s="711"/>
      <c r="Y25" s="3667"/>
      <c r="Z25" s="55">
        <f>Q25</f>
        <v>111</v>
      </c>
      <c r="AA25" s="1487">
        <f>D25/F25</f>
        <v>1</v>
      </c>
      <c r="AB25" s="1487">
        <f>D25/H25</f>
        <v>1</v>
      </c>
      <c r="AC25" s="1487">
        <f>D25/J25</f>
        <v>1</v>
      </c>
    </row>
    <row r="26" spans="1:29" ht="16" x14ac:dyDescent="0.2">
      <c r="A26" s="607"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722"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671" t="s">
        <v>2145</v>
      </c>
      <c r="Z26" s="1490" t="str">
        <f t="shared" ref="Z26:Z36" si="15">Q26</f>
        <v>配套类型</v>
      </c>
      <c r="AA26" s="1487">
        <f t="shared" si="3"/>
        <v>1</v>
      </c>
      <c r="AB26" s="1487">
        <f t="shared" si="4"/>
        <v>1</v>
      </c>
      <c r="AC26" s="1487">
        <f t="shared" si="5"/>
        <v>1</v>
      </c>
    </row>
    <row r="27" spans="1:29" s="430" customFormat="1" ht="16" x14ac:dyDescent="0.2">
      <c r="A27" s="608"/>
      <c r="B27" s="609" t="s">
        <v>2293</v>
      </c>
      <c r="C27" s="610"/>
      <c r="D27" s="132">
        <v>100</v>
      </c>
      <c r="E27" s="610"/>
      <c r="F27" s="420">
        <f>SUMIF(81:81,E27,82:82)-SUMIF(81:81,C27,82:82)+100</f>
        <v>100</v>
      </c>
      <c r="G27" s="610"/>
      <c r="H27" s="394">
        <f>SUMIF(81:81,G27,82:82)-SUMIF(81:81,C27,82:82)+100</f>
        <v>100</v>
      </c>
      <c r="I27" s="610"/>
      <c r="J27" s="394">
        <f>SUMIF(81:81,I27,82:82)-SUMIF(81:81,C27,82:82)+100</f>
        <v>100</v>
      </c>
      <c r="K27" s="570"/>
      <c r="L27" s="2899"/>
      <c r="M27" s="2901"/>
      <c r="N27" s="2901"/>
      <c r="O27" s="2901"/>
      <c r="P27" s="3671"/>
      <c r="Q27" s="715" t="str">
        <f t="shared" si="11"/>
        <v>项目停车位配比</v>
      </c>
      <c r="R27" s="716" t="s">
        <v>17</v>
      </c>
      <c r="S27" s="717">
        <f t="shared" si="12"/>
        <v>100</v>
      </c>
      <c r="T27" s="716" t="s">
        <v>17</v>
      </c>
      <c r="U27" s="717">
        <f t="shared" si="13"/>
        <v>100</v>
      </c>
      <c r="V27" s="716" t="s">
        <v>17</v>
      </c>
      <c r="W27" s="717">
        <f t="shared" si="14"/>
        <v>100</v>
      </c>
      <c r="X27" s="718"/>
      <c r="Y27" s="3671"/>
      <c r="Z27" s="719" t="str">
        <f t="shared" si="15"/>
        <v>项目停车位配比</v>
      </c>
      <c r="AA27" s="1487">
        <f t="shared" si="3"/>
        <v>1</v>
      </c>
      <c r="AB27" s="1487">
        <f t="shared" si="4"/>
        <v>1</v>
      </c>
      <c r="AC27" s="1487">
        <f t="shared" si="5"/>
        <v>1</v>
      </c>
    </row>
    <row r="28" spans="1:29" ht="16" x14ac:dyDescent="0.2">
      <c r="A28" s="611"/>
      <c r="B28" s="609"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671"/>
      <c r="Q28" s="1486" t="str">
        <f t="shared" si="11"/>
        <v>公共部分装修</v>
      </c>
      <c r="R28" s="713" t="s">
        <v>17</v>
      </c>
      <c r="S28" s="714">
        <f t="shared" si="12"/>
        <v>100</v>
      </c>
      <c r="T28" s="713" t="s">
        <v>17</v>
      </c>
      <c r="U28" s="714">
        <f t="shared" si="13"/>
        <v>100</v>
      </c>
      <c r="V28" s="713" t="s">
        <v>17</v>
      </c>
      <c r="W28" s="714">
        <f t="shared" si="14"/>
        <v>100</v>
      </c>
      <c r="X28" s="1489"/>
      <c r="Y28" s="3671"/>
      <c r="Z28" s="1490" t="str">
        <f t="shared" si="15"/>
        <v>公共部分装修</v>
      </c>
      <c r="AA28" s="1487">
        <f t="shared" si="3"/>
        <v>1</v>
      </c>
      <c r="AB28" s="1487">
        <f t="shared" si="4"/>
        <v>1</v>
      </c>
      <c r="AC28" s="1487">
        <f t="shared" si="5"/>
        <v>1</v>
      </c>
    </row>
    <row r="29" spans="1:29" ht="16" x14ac:dyDescent="0.2">
      <c r="A29" s="611"/>
      <c r="B29" s="609"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671"/>
      <c r="Q29" s="1486" t="str">
        <f t="shared" si="11"/>
        <v>成新率</v>
      </c>
      <c r="R29" s="713" t="s">
        <v>17</v>
      </c>
      <c r="S29" s="714" t="e">
        <f t="shared" si="12"/>
        <v>#N/A</v>
      </c>
      <c r="T29" s="713" t="s">
        <v>17</v>
      </c>
      <c r="U29" s="714" t="e">
        <f t="shared" si="13"/>
        <v>#N/A</v>
      </c>
      <c r="V29" s="713" t="s">
        <v>17</v>
      </c>
      <c r="W29" s="714" t="e">
        <f t="shared" si="14"/>
        <v>#N/A</v>
      </c>
      <c r="X29" s="1489"/>
      <c r="Y29" s="3671"/>
      <c r="Z29" s="1490" t="str">
        <f t="shared" si="15"/>
        <v>成新率</v>
      </c>
      <c r="AA29" s="1487" t="e">
        <f t="shared" si="3"/>
        <v>#N/A</v>
      </c>
      <c r="AB29" s="1487" t="e">
        <f t="shared" si="4"/>
        <v>#N/A</v>
      </c>
      <c r="AC29" s="1487" t="e">
        <f t="shared" si="5"/>
        <v>#N/A</v>
      </c>
    </row>
    <row r="30" spans="1:29" ht="16" x14ac:dyDescent="0.2">
      <c r="A30" s="611"/>
      <c r="B30" s="609" t="s">
        <v>2296</v>
      </c>
      <c r="C30" s="612"/>
      <c r="D30" s="394">
        <v>100</v>
      </c>
      <c r="E30" s="612"/>
      <c r="F30" s="420">
        <f>SUMIF(88:88,E30,89:89)-SUMIF(88:88,C30,89:89)+100</f>
        <v>100</v>
      </c>
      <c r="G30" s="612"/>
      <c r="H30" s="394">
        <f>SUMIF(88:88,E30,89:89)-SUMIF(88:88,C30,89:89)+100</f>
        <v>100</v>
      </c>
      <c r="I30" s="612"/>
      <c r="J30" s="394">
        <f>SUMIF(88:88,E30,89:89)-SUMIF(88:88,C30,89:89)+100</f>
        <v>100</v>
      </c>
      <c r="K30" s="569"/>
      <c r="L30" s="2900"/>
      <c r="M30" s="2894"/>
      <c r="N30" s="2894"/>
      <c r="O30" s="2894"/>
      <c r="P30" s="3671"/>
      <c r="Q30" s="1486" t="str">
        <f t="shared" si="11"/>
        <v>物业等级</v>
      </c>
      <c r="R30" s="713" t="s">
        <v>17</v>
      </c>
      <c r="S30" s="714">
        <f t="shared" si="12"/>
        <v>100</v>
      </c>
      <c r="T30" s="713" t="s">
        <v>17</v>
      </c>
      <c r="U30" s="714">
        <f t="shared" si="13"/>
        <v>100</v>
      </c>
      <c r="V30" s="713" t="s">
        <v>17</v>
      </c>
      <c r="W30" s="714">
        <f t="shared" si="14"/>
        <v>100</v>
      </c>
      <c r="X30" s="1489"/>
      <c r="Y30" s="3671"/>
      <c r="Z30" s="1490" t="str">
        <f t="shared" si="15"/>
        <v>物业等级</v>
      </c>
      <c r="AA30" s="1487">
        <f t="shared" si="3"/>
        <v>1</v>
      </c>
      <c r="AB30" s="1487">
        <f t="shared" si="4"/>
        <v>1</v>
      </c>
      <c r="AC30" s="1487">
        <f t="shared" si="5"/>
        <v>1</v>
      </c>
    </row>
    <row r="31" spans="1:29" s="113" customFormat="1" ht="16" x14ac:dyDescent="0.2">
      <c r="A31" s="613"/>
      <c r="B31" s="609"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671"/>
      <c r="Q31" s="1477" t="str">
        <f t="shared" si="11"/>
        <v>停车位面积</v>
      </c>
      <c r="R31" s="709" t="s">
        <v>17</v>
      </c>
      <c r="S31" s="710" t="e">
        <f t="shared" si="12"/>
        <v>#N/A</v>
      </c>
      <c r="T31" s="709" t="s">
        <v>17</v>
      </c>
      <c r="U31" s="710" t="e">
        <f t="shared" si="13"/>
        <v>#N/A</v>
      </c>
      <c r="V31" s="709" t="s">
        <v>17</v>
      </c>
      <c r="W31" s="710" t="e">
        <f t="shared" si="14"/>
        <v>#N/A</v>
      </c>
      <c r="X31" s="711"/>
      <c r="Y31" s="3671"/>
      <c r="Z31" s="55" t="str">
        <f t="shared" si="15"/>
        <v>停车位面积</v>
      </c>
      <c r="AA31" s="712" t="e">
        <f t="shared" si="3"/>
        <v>#N/A</v>
      </c>
      <c r="AB31" s="712" t="e">
        <f t="shared" si="4"/>
        <v>#N/A</v>
      </c>
      <c r="AC31" s="712" t="e">
        <f t="shared" si="5"/>
        <v>#N/A</v>
      </c>
    </row>
    <row r="32" spans="1:29" ht="16" x14ac:dyDescent="0.2">
      <c r="A32" s="611"/>
      <c r="B32" s="609"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671" t="s">
        <v>2145</v>
      </c>
      <c r="Q32" s="1486" t="str">
        <f t="shared" si="11"/>
        <v>车位类型</v>
      </c>
      <c r="R32" s="713" t="s">
        <v>17</v>
      </c>
      <c r="S32" s="714">
        <f t="shared" si="12"/>
        <v>100</v>
      </c>
      <c r="T32" s="713" t="s">
        <v>17</v>
      </c>
      <c r="U32" s="714">
        <f t="shared" si="13"/>
        <v>100</v>
      </c>
      <c r="V32" s="713" t="s">
        <v>17</v>
      </c>
      <c r="W32" s="714">
        <f t="shared" si="14"/>
        <v>100</v>
      </c>
      <c r="X32" s="1489"/>
      <c r="Y32" s="3671" t="s">
        <v>2145</v>
      </c>
      <c r="Z32" s="1490" t="str">
        <f t="shared" si="15"/>
        <v>车位类型</v>
      </c>
      <c r="AA32" s="1487">
        <f t="shared" si="3"/>
        <v>1</v>
      </c>
      <c r="AB32" s="1487">
        <f t="shared" si="4"/>
        <v>1</v>
      </c>
      <c r="AC32" s="1487">
        <f t="shared" si="5"/>
        <v>1</v>
      </c>
    </row>
    <row r="33" spans="1:29" ht="16" x14ac:dyDescent="0.2">
      <c r="A33" s="611"/>
      <c r="B33" s="609"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671"/>
      <c r="Q33" s="1486" t="str">
        <f t="shared" si="11"/>
        <v>是否直接入户</v>
      </c>
      <c r="R33" s="713" t="s">
        <v>17</v>
      </c>
      <c r="S33" s="714">
        <f t="shared" si="12"/>
        <v>100</v>
      </c>
      <c r="T33" s="713" t="s">
        <v>17</v>
      </c>
      <c r="U33" s="714">
        <f t="shared" si="13"/>
        <v>100</v>
      </c>
      <c r="V33" s="713" t="s">
        <v>17</v>
      </c>
      <c r="W33" s="714">
        <f t="shared" si="14"/>
        <v>100</v>
      </c>
      <c r="X33" s="1489"/>
      <c r="Y33" s="3671"/>
      <c r="Z33" s="1490" t="str">
        <f t="shared" si="15"/>
        <v>是否直接入户</v>
      </c>
      <c r="AA33" s="1487">
        <f t="shared" si="3"/>
        <v>1</v>
      </c>
      <c r="AB33" s="1487">
        <f t="shared" si="4"/>
        <v>1</v>
      </c>
      <c r="AC33" s="1487">
        <f t="shared" si="5"/>
        <v>1</v>
      </c>
    </row>
    <row r="34" spans="1:29" ht="16" x14ac:dyDescent="0.2">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671"/>
      <c r="Q34" s="1486">
        <f t="shared" si="11"/>
        <v>111</v>
      </c>
      <c r="R34" s="713" t="s">
        <v>17</v>
      </c>
      <c r="S34" s="714">
        <f t="shared" si="12"/>
        <v>100</v>
      </c>
      <c r="T34" s="713" t="s">
        <v>17</v>
      </c>
      <c r="U34" s="714">
        <f t="shared" si="13"/>
        <v>100</v>
      </c>
      <c r="V34" s="713" t="s">
        <v>17</v>
      </c>
      <c r="W34" s="714">
        <f t="shared" si="14"/>
        <v>100</v>
      </c>
      <c r="X34" s="1489"/>
      <c r="Y34" s="3671"/>
      <c r="Z34" s="1490">
        <f t="shared" si="15"/>
        <v>111</v>
      </c>
      <c r="AA34" s="1487">
        <f t="shared" si="3"/>
        <v>1</v>
      </c>
      <c r="AB34" s="1487">
        <f t="shared" si="4"/>
        <v>1</v>
      </c>
      <c r="AC34" s="1487">
        <f t="shared" si="5"/>
        <v>1</v>
      </c>
    </row>
    <row r="35" spans="1:29" s="430" customFormat="1" ht="16" x14ac:dyDescent="0.2">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671"/>
      <c r="Q35" s="715">
        <f t="shared" si="11"/>
        <v>111</v>
      </c>
      <c r="R35" s="716" t="s">
        <v>17</v>
      </c>
      <c r="S35" s="717">
        <f t="shared" si="12"/>
        <v>100</v>
      </c>
      <c r="T35" s="716" t="s">
        <v>17</v>
      </c>
      <c r="U35" s="717">
        <f t="shared" si="13"/>
        <v>100</v>
      </c>
      <c r="V35" s="716" t="s">
        <v>17</v>
      </c>
      <c r="W35" s="717">
        <f t="shared" si="14"/>
        <v>100</v>
      </c>
      <c r="X35" s="718"/>
      <c r="Y35" s="3671"/>
      <c r="Z35" s="719">
        <f t="shared" si="15"/>
        <v>111</v>
      </c>
      <c r="AA35" s="1487">
        <f t="shared" si="3"/>
        <v>1</v>
      </c>
      <c r="AB35" s="1487">
        <f t="shared" si="4"/>
        <v>1</v>
      </c>
      <c r="AC35" s="1487">
        <f t="shared" si="5"/>
        <v>1</v>
      </c>
    </row>
    <row r="36" spans="1:29" ht="17" thickBot="1" x14ac:dyDescent="0.25">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671"/>
      <c r="Q36" s="1486">
        <f t="shared" si="11"/>
        <v>111</v>
      </c>
      <c r="R36" s="713" t="s">
        <v>17</v>
      </c>
      <c r="S36" s="714">
        <f t="shared" si="12"/>
        <v>100</v>
      </c>
      <c r="T36" s="713" t="s">
        <v>17</v>
      </c>
      <c r="U36" s="714">
        <f t="shared" si="13"/>
        <v>100</v>
      </c>
      <c r="V36" s="713" t="s">
        <v>17</v>
      </c>
      <c r="W36" s="714">
        <f t="shared" si="14"/>
        <v>100</v>
      </c>
      <c r="X36" s="1489"/>
      <c r="Y36" s="3671"/>
      <c r="Z36" s="1490">
        <f t="shared" si="15"/>
        <v>111</v>
      </c>
      <c r="AA36" s="1487">
        <f t="shared" si="3"/>
        <v>1</v>
      </c>
      <c r="AB36" s="1487">
        <f t="shared" si="4"/>
        <v>1</v>
      </c>
      <c r="AC36" s="1487">
        <f t="shared" si="5"/>
        <v>1</v>
      </c>
    </row>
    <row r="37" spans="1:29" x14ac:dyDescent="0.2">
      <c r="A37" s="438" t="s">
        <v>2300</v>
      </c>
      <c r="B37" s="2109" t="s">
        <v>2301</v>
      </c>
      <c r="C37" s="1268" t="s">
        <v>1</v>
      </c>
      <c r="D37" s="1269"/>
      <c r="E37" s="1270"/>
      <c r="F37" s="1271"/>
      <c r="G37" s="1272"/>
      <c r="H37" s="1273"/>
      <c r="I37" s="1270"/>
      <c r="J37" s="1273"/>
      <c r="K37" s="575"/>
      <c r="L37" s="2902"/>
      <c r="M37" s="2903"/>
      <c r="N37" s="2894"/>
      <c r="O37" s="2903"/>
      <c r="P37" s="3664" t="str">
        <f>A37</f>
        <v>成交单价</v>
      </c>
      <c r="Q37" s="3664"/>
      <c r="R37" s="3665">
        <f>E37</f>
        <v>0</v>
      </c>
      <c r="S37" s="3665"/>
      <c r="T37" s="3665">
        <f>G37</f>
        <v>0</v>
      </c>
      <c r="U37" s="3665"/>
      <c r="V37" s="3665">
        <f>I37</f>
        <v>0</v>
      </c>
      <c r="W37" s="3665"/>
      <c r="X37" s="698"/>
      <c r="Y37" s="720"/>
      <c r="Z37" s="698"/>
      <c r="AA37" s="698"/>
      <c r="AB37" s="698"/>
      <c r="AC37" s="698"/>
    </row>
    <row r="38" spans="1:29" ht="15" thickBot="1" x14ac:dyDescent="0.25">
      <c r="A38" s="445" t="s">
        <v>2302</v>
      </c>
      <c r="B38" s="446" t="str">
        <f>B37</f>
        <v>元/车位</v>
      </c>
      <c r="C38" s="1274" t="e">
        <f>R39</f>
        <v>#DIV/0!</v>
      </c>
      <c r="D38" s="2488" t="s">
        <v>2639</v>
      </c>
      <c r="E38" s="1275" t="e">
        <f>R38</f>
        <v>#DIV/0!</v>
      </c>
      <c r="F38" s="2489"/>
      <c r="G38" s="1274" t="e">
        <f>T38</f>
        <v>#DIV/0!</v>
      </c>
      <c r="H38" s="2489"/>
      <c r="I38" s="1275" t="e">
        <f>V38</f>
        <v>#DIV/0!</v>
      </c>
      <c r="J38" s="2489"/>
      <c r="K38" s="2491">
        <f>F38+H38+J38</f>
        <v>0</v>
      </c>
      <c r="L38" s="2902"/>
      <c r="M38" s="2903"/>
      <c r="N38" s="2903"/>
      <c r="O38" s="2903"/>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8"/>
      <c r="Y38" s="698"/>
      <c r="Z38" s="698"/>
      <c r="AA38" s="698"/>
      <c r="AB38" s="698"/>
      <c r="AC38" s="698"/>
    </row>
    <row r="39" spans="1:29" ht="15" thickBot="1" x14ac:dyDescent="0.25">
      <c r="A39" s="449" t="s">
        <v>2303</v>
      </c>
      <c r="B39" s="450"/>
      <c r="C39" s="1277" t="e">
        <f>R39</f>
        <v>#DIV/0!</v>
      </c>
      <c r="D39" s="1277"/>
      <c r="E39" s="1277"/>
      <c r="F39" s="1277"/>
      <c r="G39" s="1277"/>
      <c r="H39" s="1277"/>
      <c r="I39" s="1277"/>
      <c r="J39" s="1277"/>
      <c r="K39" s="576"/>
      <c r="L39" s="2902"/>
      <c r="M39" s="2903"/>
      <c r="N39" s="2903"/>
      <c r="O39" s="2903"/>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8"/>
      <c r="Y39" s="698"/>
      <c r="Z39" s="698"/>
      <c r="AA39" s="698"/>
      <c r="AB39" s="698"/>
      <c r="AC39" s="698"/>
    </row>
    <row r="40" spans="1:29" x14ac:dyDescent="0.2">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x14ac:dyDescent="0.2">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x14ac:dyDescent="0.2">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x14ac:dyDescent="0.2">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x14ac:dyDescent="0.2">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x14ac:dyDescent="0.2">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x14ac:dyDescent="0.2">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 thickBot="1" x14ac:dyDescent="0.25">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5" customFormat="1" x14ac:dyDescent="0.2">
      <c r="A48" s="462" t="s">
        <v>2308</v>
      </c>
      <c r="B48" s="463"/>
      <c r="C48" s="1298" t="str">
        <f>YEAR(C7)&amp;"-"&amp;MONTH(C7)</f>
        <v>2022-11</v>
      </c>
      <c r="D48" s="1299">
        <f>EDATE(C48,-1)</f>
        <v>44835</v>
      </c>
      <c r="E48" s="1299">
        <f t="shared" ref="E48:O48" si="16">EDATE(D48,-1)</f>
        <v>44805</v>
      </c>
      <c r="F48" s="1299">
        <f t="shared" si="16"/>
        <v>44774</v>
      </c>
      <c r="G48" s="1299">
        <f t="shared" si="16"/>
        <v>44743</v>
      </c>
      <c r="H48" s="1299">
        <f t="shared" si="16"/>
        <v>44713</v>
      </c>
      <c r="I48" s="1299">
        <f t="shared" si="16"/>
        <v>44682</v>
      </c>
      <c r="J48" s="1299">
        <f t="shared" si="16"/>
        <v>44652</v>
      </c>
      <c r="K48" s="1299">
        <f t="shared" si="16"/>
        <v>44621</v>
      </c>
      <c r="L48" s="1299">
        <f t="shared" si="16"/>
        <v>44593</v>
      </c>
      <c r="M48" s="1299">
        <f t="shared" si="16"/>
        <v>44562</v>
      </c>
      <c r="N48" s="1299">
        <f t="shared" si="16"/>
        <v>44531</v>
      </c>
      <c r="O48" s="1299">
        <f t="shared" si="16"/>
        <v>44501</v>
      </c>
      <c r="P48" s="2937"/>
      <c r="Q48" s="2919"/>
      <c r="R48" s="2919"/>
      <c r="S48" s="2919"/>
      <c r="T48" s="2919"/>
      <c r="U48" s="2919"/>
      <c r="V48" s="2919"/>
      <c r="W48" s="2919"/>
      <c r="X48" s="2919"/>
      <c r="Y48" s="2919"/>
      <c r="Z48" s="2919"/>
      <c r="AA48" s="2919"/>
      <c r="AB48" s="2919"/>
      <c r="AC48" s="2919"/>
    </row>
    <row r="49" spans="1:29" s="113" customFormat="1" x14ac:dyDescent="0.2">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 thickBot="1" x14ac:dyDescent="0.25">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x14ac:dyDescent="0.2">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 thickBot="1" x14ac:dyDescent="0.25">
      <c r="A52" s="478"/>
      <c r="B52" s="467"/>
      <c r="C52" s="594">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x14ac:dyDescent="0.2">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 thickBot="1" x14ac:dyDescent="0.25">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9" thickTop="1" x14ac:dyDescent="0.2">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 thickBot="1" x14ac:dyDescent="0.25">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 thickTop="1" x14ac:dyDescent="0.2">
      <c r="A57" s="491"/>
      <c r="B57" s="615">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 thickBot="1" x14ac:dyDescent="0.25">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 thickTop="1" x14ac:dyDescent="0.2">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 thickBot="1" x14ac:dyDescent="0.25">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 thickTop="1" x14ac:dyDescent="0.2">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 thickBot="1" x14ac:dyDescent="0.25">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x14ac:dyDescent="0.2">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 thickBot="1" x14ac:dyDescent="0.25">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 thickTop="1" x14ac:dyDescent="0.2">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 thickBot="1" x14ac:dyDescent="0.25">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 thickTop="1" x14ac:dyDescent="0.2">
      <c r="A67" s="491"/>
      <c r="B67" s="503" t="s">
        <v>2269</v>
      </c>
      <c r="C67" s="615" t="s">
        <v>2255</v>
      </c>
      <c r="D67" s="615" t="s">
        <v>2256</v>
      </c>
      <c r="E67" s="615" t="s">
        <v>2257</v>
      </c>
      <c r="F67" s="615" t="s">
        <v>2258</v>
      </c>
      <c r="G67" s="615" t="s">
        <v>2259</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 thickBot="1" x14ac:dyDescent="0.25">
      <c r="A68" s="491"/>
      <c r="B68" s="503"/>
      <c r="C68" s="501">
        <v>100</v>
      </c>
      <c r="D68" s="501">
        <f>C68-$K18</f>
        <v>100</v>
      </c>
      <c r="E68" s="501">
        <f>D68-$K18</f>
        <v>100</v>
      </c>
      <c r="F68" s="501">
        <f>E68-$K18</f>
        <v>100</v>
      </c>
      <c r="G68" s="501">
        <f>F68-$K18</f>
        <v>100</v>
      </c>
      <c r="H68" s="615"/>
      <c r="I68" s="615"/>
      <c r="J68" s="615"/>
      <c r="K68" s="615"/>
      <c r="L68" s="615"/>
      <c r="M68" s="409"/>
      <c r="N68" s="2932"/>
      <c r="O68" s="2932"/>
      <c r="P68" s="2940"/>
      <c r="Q68" s="2917"/>
      <c r="R68" s="2903"/>
      <c r="S68" s="2903"/>
      <c r="T68" s="2903"/>
      <c r="U68" s="2903"/>
      <c r="V68" s="2903"/>
      <c r="W68" s="2903"/>
      <c r="X68" s="2903"/>
      <c r="Y68" s="2903"/>
      <c r="Z68" s="2903"/>
      <c r="AA68" s="2903"/>
      <c r="AB68" s="2903"/>
      <c r="AC68" s="2903"/>
    </row>
    <row r="69" spans="1:29" ht="15" thickTop="1" x14ac:dyDescent="0.2">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 thickBot="1" x14ac:dyDescent="0.25">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 thickTop="1" x14ac:dyDescent="0.2">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 thickBot="1" x14ac:dyDescent="0.25">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 thickTop="1" x14ac:dyDescent="0.2">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 thickBot="1" x14ac:dyDescent="0.25">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 thickTop="1" x14ac:dyDescent="0.2">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 thickBot="1" x14ac:dyDescent="0.25">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 thickTop="1" x14ac:dyDescent="0.2">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 thickBot="1" x14ac:dyDescent="0.25">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9" thickTop="1" x14ac:dyDescent="0.2">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 thickBot="1" x14ac:dyDescent="0.25">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 thickTop="1" x14ac:dyDescent="0.2">
      <c r="A81" s="491"/>
      <c r="B81" s="495" t="s">
        <v>2311</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30" customFormat="1" ht="15" thickBot="1" x14ac:dyDescent="0.25">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x14ac:dyDescent="0.2">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 thickBot="1" x14ac:dyDescent="0.25">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x14ac:dyDescent="0.2">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x14ac:dyDescent="0.2">
      <c r="A86" s="556"/>
      <c r="B86" s="503"/>
      <c r="C86" s="560">
        <v>0.5</v>
      </c>
      <c r="D86" s="560">
        <v>0.6</v>
      </c>
      <c r="E86" s="560">
        <v>0.7</v>
      </c>
      <c r="F86" s="560">
        <v>0.8</v>
      </c>
      <c r="G86" s="560">
        <v>0.9</v>
      </c>
      <c r="H86" s="560">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 thickBot="1" x14ac:dyDescent="0.25">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x14ac:dyDescent="0.2">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 thickBot="1" x14ac:dyDescent="0.25">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x14ac:dyDescent="0.2">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x14ac:dyDescent="0.2">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 thickBot="1" x14ac:dyDescent="0.25">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x14ac:dyDescent="0.2">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 thickBot="1" x14ac:dyDescent="0.25">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x14ac:dyDescent="0.2">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 thickBot="1" x14ac:dyDescent="0.25">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x14ac:dyDescent="0.2">
      <c r="A97" s="556"/>
      <c r="B97" s="591">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 thickBot="1" x14ac:dyDescent="0.25">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x14ac:dyDescent="0.2">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 thickBot="1" x14ac:dyDescent="0.25">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x14ac:dyDescent="0.2">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 thickBot="1" x14ac:dyDescent="0.25">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x14ac:dyDescent="0.2">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D241"/>
  <sheetViews>
    <sheetView view="pageBreakPreview" zoomScale="60" zoomScaleNormal="70" workbookViewId="0">
      <selection activeCell="F7" sqref="F7:F34"/>
    </sheetView>
  </sheetViews>
  <sheetFormatPr baseColWidth="10" defaultColWidth="9" defaultRowHeight="14" x14ac:dyDescent="0.2"/>
  <cols>
    <col min="1" max="1" width="10.5" style="363" customWidth="1"/>
    <col min="2" max="2" width="15.66406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363"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1353" customFormat="1" ht="28.5" customHeight="1" thickBot="1" x14ac:dyDescent="0.25">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x14ac:dyDescent="0.2">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x14ac:dyDescent="0.25">
      <c r="A3" s="209" t="s">
        <v>1909</v>
      </c>
      <c r="B3" s="566" t="e">
        <f ca="1">IF(C2="——",C37,ROUND(B2*10000/D3,0))</f>
        <v>#DIV/0!</v>
      </c>
      <c r="C3" s="360" t="s">
        <v>2224</v>
      </c>
      <c r="D3" s="359">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x14ac:dyDescent="0.2">
      <c r="A4" s="361" t="s">
        <v>2225</v>
      </c>
      <c r="B4" s="362"/>
      <c r="C4" s="3679" t="s">
        <v>2226</v>
      </c>
      <c r="D4" s="3680"/>
      <c r="E4" s="3681" t="s">
        <v>2227</v>
      </c>
      <c r="F4" s="3682"/>
      <c r="G4" s="3679" t="s">
        <v>2228</v>
      </c>
      <c r="H4" s="3680"/>
      <c r="I4" s="3679" t="s">
        <v>2229</v>
      </c>
      <c r="J4" s="3680"/>
      <c r="K4" s="567" t="s">
        <v>2230</v>
      </c>
      <c r="L4" s="2893"/>
      <c r="M4" s="2894"/>
      <c r="N4" s="2894"/>
      <c r="O4" s="2894"/>
      <c r="P4" s="3683" t="s">
        <v>2231</v>
      </c>
      <c r="Q4" s="3684"/>
      <c r="R4" s="3689" t="s">
        <v>2227</v>
      </c>
      <c r="S4" s="3690"/>
      <c r="T4" s="3689" t="s">
        <v>2228</v>
      </c>
      <c r="U4" s="3690"/>
      <c r="V4" s="3695" t="s">
        <v>2229</v>
      </c>
      <c r="W4" s="3695"/>
      <c r="X4" s="1489"/>
      <c r="Y4" s="3689" t="s">
        <v>2231</v>
      </c>
      <c r="Z4" s="3690"/>
      <c r="AA4" s="3676" t="s">
        <v>2227</v>
      </c>
      <c r="AB4" s="3677" t="s">
        <v>2228</v>
      </c>
      <c r="AC4" s="3676" t="s">
        <v>2229</v>
      </c>
    </row>
    <row r="5" spans="1:29" x14ac:dyDescent="0.2">
      <c r="A5" s="364"/>
      <c r="B5" s="365"/>
      <c r="C5" s="3698" t="s">
        <v>2122</v>
      </c>
      <c r="D5" s="3699"/>
      <c r="E5" s="3705" t="s">
        <v>2123</v>
      </c>
      <c r="F5" s="3706"/>
      <c r="G5" s="3698" t="s">
        <v>2124</v>
      </c>
      <c r="H5" s="3699"/>
      <c r="I5" s="3698" t="s">
        <v>2125</v>
      </c>
      <c r="J5" s="3699"/>
      <c r="K5" s="567"/>
      <c r="L5" s="2893"/>
      <c r="M5" s="2894"/>
      <c r="N5" s="2894"/>
      <c r="O5" s="2894"/>
      <c r="P5" s="3685"/>
      <c r="Q5" s="3686"/>
      <c r="R5" s="3691"/>
      <c r="S5" s="3692"/>
      <c r="T5" s="3691"/>
      <c r="U5" s="3692"/>
      <c r="V5" s="3695"/>
      <c r="W5" s="3695"/>
      <c r="X5" s="1489"/>
      <c r="Y5" s="3691"/>
      <c r="Z5" s="3692"/>
      <c r="AA5" s="3677"/>
      <c r="AB5" s="3677"/>
      <c r="AC5" s="3677"/>
    </row>
    <row r="6" spans="1:29" ht="15" thickBot="1" x14ac:dyDescent="0.25">
      <c r="A6" s="366"/>
      <c r="B6" s="367"/>
      <c r="C6" s="3696" t="s">
        <v>2126</v>
      </c>
      <c r="D6" s="3697"/>
      <c r="E6" s="3703" t="s">
        <v>2126</v>
      </c>
      <c r="F6" s="3704"/>
      <c r="G6" s="3696" t="s">
        <v>2126</v>
      </c>
      <c r="H6" s="3697"/>
      <c r="I6" s="3696" t="s">
        <v>2126</v>
      </c>
      <c r="J6" s="3697"/>
      <c r="K6" s="567" t="s">
        <v>2127</v>
      </c>
      <c r="L6" s="2893"/>
      <c r="M6" s="2894"/>
      <c r="N6" s="2894"/>
      <c r="O6" s="2894"/>
      <c r="P6" s="3687"/>
      <c r="Q6" s="3688"/>
      <c r="R6" s="3691"/>
      <c r="S6" s="3692"/>
      <c r="T6" s="3693"/>
      <c r="U6" s="3694"/>
      <c r="V6" s="3695"/>
      <c r="W6" s="3695"/>
      <c r="X6" s="1489"/>
      <c r="Y6" s="3693"/>
      <c r="Z6" s="3694"/>
      <c r="AA6" s="3678"/>
      <c r="AB6" s="3678"/>
      <c r="AC6" s="3678"/>
    </row>
    <row r="7" spans="1:29" s="113" customFormat="1" ht="15" thickBot="1" x14ac:dyDescent="0.25">
      <c r="A7" s="368" t="s">
        <v>2128</v>
      </c>
      <c r="B7" s="369"/>
      <c r="C7" s="370">
        <f>'数据-取费表'!B2</f>
        <v>44868</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700" t="s">
        <v>2129</v>
      </c>
      <c r="Q7" s="3702"/>
      <c r="R7" s="709" t="s">
        <v>17</v>
      </c>
      <c r="S7" s="710">
        <f t="shared" ref="S7:S14" si="0">F7</f>
        <v>0</v>
      </c>
      <c r="T7" s="709" t="s">
        <v>17</v>
      </c>
      <c r="U7" s="710">
        <f t="shared" ref="U7:U14" si="1">H7</f>
        <v>0</v>
      </c>
      <c r="V7" s="709" t="s">
        <v>17</v>
      </c>
      <c r="W7" s="710">
        <f t="shared" ref="W7:W14" si="2">J7</f>
        <v>0</v>
      </c>
      <c r="X7" s="711"/>
      <c r="Y7" s="3700" t="s">
        <v>2129</v>
      </c>
      <c r="Z7" s="3701"/>
      <c r="AA7" s="712" t="e">
        <f>D7/F7</f>
        <v>#DIV/0!</v>
      </c>
      <c r="AB7" s="712" t="e">
        <f>D7/H7</f>
        <v>#DIV/0!</v>
      </c>
      <c r="AC7" s="712" t="e">
        <f>D7/J7</f>
        <v>#DIV/0!</v>
      </c>
    </row>
    <row r="8" spans="1:29" s="113" customFormat="1" ht="15" thickBot="1" x14ac:dyDescent="0.25">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700" t="s">
        <v>2132</v>
      </c>
      <c r="Q8" s="3701"/>
      <c r="R8" s="709" t="s">
        <v>17</v>
      </c>
      <c r="S8" s="710">
        <f t="shared" si="0"/>
        <v>0</v>
      </c>
      <c r="T8" s="709" t="s">
        <v>17</v>
      </c>
      <c r="U8" s="710">
        <f t="shared" si="1"/>
        <v>0</v>
      </c>
      <c r="V8" s="709" t="s">
        <v>17</v>
      </c>
      <c r="W8" s="710">
        <f t="shared" si="2"/>
        <v>0</v>
      </c>
      <c r="X8" s="711"/>
      <c r="Y8" s="3700" t="s">
        <v>2132</v>
      </c>
      <c r="Z8" s="3701"/>
      <c r="AA8" s="712" t="e">
        <f t="shared" ref="AA8:AA34" si="3">D8/F8</f>
        <v>#DIV/0!</v>
      </c>
      <c r="AB8" s="712" t="e">
        <f t="shared" ref="AB8:AB34" si="4">D8/H8</f>
        <v>#DIV/0!</v>
      </c>
      <c r="AC8" s="712" t="e">
        <f t="shared" ref="AC8:AC34" si="5">D8/J8</f>
        <v>#DIV/0!</v>
      </c>
    </row>
    <row r="9" spans="1:29" s="113" customFormat="1" x14ac:dyDescent="0.2">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664" t="s">
        <v>2135</v>
      </c>
      <c r="Q9" s="1477" t="str">
        <f t="shared" ref="Q9:Q14" si="6">B9</f>
        <v>用途</v>
      </c>
      <c r="R9" s="709" t="s">
        <v>17</v>
      </c>
      <c r="S9" s="710">
        <f t="shared" si="0"/>
        <v>100</v>
      </c>
      <c r="T9" s="709" t="s">
        <v>17</v>
      </c>
      <c r="U9" s="710">
        <f t="shared" si="1"/>
        <v>100</v>
      </c>
      <c r="V9" s="709" t="s">
        <v>17</v>
      </c>
      <c r="W9" s="710">
        <f t="shared" si="2"/>
        <v>100</v>
      </c>
      <c r="X9" s="711"/>
      <c r="Y9" s="3536" t="s">
        <v>2136</v>
      </c>
      <c r="Z9" s="55" t="str">
        <f t="shared" ref="Z9:Z14" si="7">Q9</f>
        <v>用途</v>
      </c>
      <c r="AA9" s="712">
        <f t="shared" si="3"/>
        <v>1</v>
      </c>
      <c r="AB9" s="712">
        <f t="shared" si="4"/>
        <v>1</v>
      </c>
      <c r="AC9" s="712">
        <f t="shared" si="5"/>
        <v>1</v>
      </c>
    </row>
    <row r="10" spans="1:29" s="386" customFormat="1" ht="28" x14ac:dyDescent="0.2">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664"/>
      <c r="Q10" s="1477" t="str">
        <f t="shared" si="6"/>
        <v>土地使用年限（年）</v>
      </c>
      <c r="R10" s="709" t="s">
        <v>17</v>
      </c>
      <c r="S10" s="710">
        <f t="shared" si="0"/>
        <v>100</v>
      </c>
      <c r="T10" s="709" t="s">
        <v>17</v>
      </c>
      <c r="U10" s="710">
        <f t="shared" si="1"/>
        <v>100</v>
      </c>
      <c r="V10" s="709" t="s">
        <v>17</v>
      </c>
      <c r="W10" s="710">
        <f t="shared" si="2"/>
        <v>100</v>
      </c>
      <c r="X10" s="711"/>
      <c r="Y10" s="3536"/>
      <c r="Z10" s="55" t="str">
        <f t="shared" si="7"/>
        <v>土地使用年限（年）</v>
      </c>
      <c r="AA10" s="712">
        <f t="shared" si="3"/>
        <v>1</v>
      </c>
      <c r="AB10" s="712">
        <f t="shared" si="4"/>
        <v>1</v>
      </c>
      <c r="AC10" s="712">
        <f t="shared" si="5"/>
        <v>1</v>
      </c>
    </row>
    <row r="11" spans="1:29" ht="16" x14ac:dyDescent="0.2">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664"/>
      <c r="Q11" s="1477">
        <f t="shared" si="6"/>
        <v>111</v>
      </c>
      <c r="R11" s="709" t="s">
        <v>17</v>
      </c>
      <c r="S11" s="710">
        <f t="shared" si="0"/>
        <v>100</v>
      </c>
      <c r="T11" s="709" t="s">
        <v>17</v>
      </c>
      <c r="U11" s="710">
        <f t="shared" si="1"/>
        <v>100</v>
      </c>
      <c r="V11" s="709" t="s">
        <v>17</v>
      </c>
      <c r="W11" s="710">
        <f t="shared" si="2"/>
        <v>100</v>
      </c>
      <c r="X11" s="711"/>
      <c r="Y11" s="3536"/>
      <c r="Z11" s="55">
        <f t="shared" si="7"/>
        <v>111</v>
      </c>
      <c r="AA11" s="712">
        <f t="shared" si="3"/>
        <v>1</v>
      </c>
      <c r="AB11" s="712">
        <f t="shared" si="4"/>
        <v>1</v>
      </c>
      <c r="AC11" s="712">
        <f t="shared" si="5"/>
        <v>1</v>
      </c>
    </row>
    <row r="12" spans="1:29" s="113" customFormat="1" ht="16" x14ac:dyDescent="0.2">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664"/>
      <c r="Q12" s="1477">
        <f t="shared" si="6"/>
        <v>111</v>
      </c>
      <c r="R12" s="709" t="s">
        <v>17</v>
      </c>
      <c r="S12" s="710">
        <f t="shared" si="0"/>
        <v>100</v>
      </c>
      <c r="T12" s="709" t="s">
        <v>17</v>
      </c>
      <c r="U12" s="710">
        <f t="shared" si="1"/>
        <v>100</v>
      </c>
      <c r="V12" s="709" t="s">
        <v>17</v>
      </c>
      <c r="W12" s="710">
        <f t="shared" si="2"/>
        <v>100</v>
      </c>
      <c r="X12" s="711"/>
      <c r="Y12" s="3536"/>
      <c r="Z12" s="55">
        <f t="shared" si="7"/>
        <v>111</v>
      </c>
      <c r="AA12" s="712">
        <f>D12/F12</f>
        <v>1</v>
      </c>
      <c r="AB12" s="712">
        <f>D12/H12</f>
        <v>1</v>
      </c>
      <c r="AC12" s="712">
        <f>D12/J12</f>
        <v>1</v>
      </c>
    </row>
    <row r="13" spans="1:29" ht="17" thickBot="1" x14ac:dyDescent="0.25">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664"/>
      <c r="Q13" s="1477">
        <f t="shared" si="6"/>
        <v>111</v>
      </c>
      <c r="R13" s="709" t="s">
        <v>17</v>
      </c>
      <c r="S13" s="710">
        <f t="shared" si="0"/>
        <v>100</v>
      </c>
      <c r="T13" s="709" t="s">
        <v>17</v>
      </c>
      <c r="U13" s="710">
        <f t="shared" si="1"/>
        <v>100</v>
      </c>
      <c r="V13" s="709" t="s">
        <v>17</v>
      </c>
      <c r="W13" s="710">
        <f t="shared" si="2"/>
        <v>100</v>
      </c>
      <c r="X13" s="711"/>
      <c r="Y13" s="3536"/>
      <c r="Z13" s="55">
        <f t="shared" si="7"/>
        <v>111</v>
      </c>
      <c r="AA13" s="712">
        <f t="shared" si="3"/>
        <v>1</v>
      </c>
      <c r="AB13" s="712">
        <f t="shared" si="4"/>
        <v>1</v>
      </c>
      <c r="AC13" s="712">
        <f t="shared" si="5"/>
        <v>1</v>
      </c>
    </row>
    <row r="14" spans="1:29" ht="84" x14ac:dyDescent="0.2">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666" t="s">
        <v>2140</v>
      </c>
      <c r="Q14" s="1486" t="str">
        <f t="shared" si="6"/>
        <v>交通便捷度</v>
      </c>
      <c r="R14" s="713" t="s">
        <v>17</v>
      </c>
      <c r="S14" s="714">
        <f t="shared" si="0"/>
        <v>100</v>
      </c>
      <c r="T14" s="713" t="s">
        <v>17</v>
      </c>
      <c r="U14" s="714">
        <f t="shared" si="1"/>
        <v>100</v>
      </c>
      <c r="V14" s="713" t="s">
        <v>17</v>
      </c>
      <c r="W14" s="714">
        <f t="shared" si="2"/>
        <v>100</v>
      </c>
      <c r="X14" s="1489"/>
      <c r="Y14" s="3666" t="s">
        <v>2140</v>
      </c>
      <c r="Z14" s="1490" t="str">
        <f t="shared" si="7"/>
        <v>交通便捷度</v>
      </c>
      <c r="AA14" s="1487">
        <f t="shared" si="3"/>
        <v>1</v>
      </c>
      <c r="AB14" s="1487">
        <f t="shared" si="4"/>
        <v>1</v>
      </c>
      <c r="AC14" s="1487">
        <f t="shared" si="5"/>
        <v>1</v>
      </c>
    </row>
    <row r="15" spans="1:29" ht="16" x14ac:dyDescent="0.2">
      <c r="A15" s="387"/>
      <c r="B15" s="405"/>
      <c r="C15" s="406"/>
      <c r="D15" s="407"/>
      <c r="E15" s="406"/>
      <c r="F15" s="408"/>
      <c r="G15" s="406"/>
      <c r="H15" s="409"/>
      <c r="I15" s="406"/>
      <c r="J15" s="407"/>
      <c r="K15" s="572"/>
      <c r="L15" s="2900"/>
      <c r="M15" s="2894"/>
      <c r="N15" s="2894"/>
      <c r="O15" s="2952"/>
      <c r="P15" s="3667"/>
      <c r="Q15" s="1486"/>
      <c r="R15" s="713"/>
      <c r="S15" s="714"/>
      <c r="T15" s="713"/>
      <c r="U15" s="714"/>
      <c r="V15" s="713"/>
      <c r="W15" s="714"/>
      <c r="X15" s="1489"/>
      <c r="Y15" s="3667"/>
      <c r="Z15" s="1490"/>
      <c r="AA15" s="1487">
        <v>1</v>
      </c>
      <c r="AB15" s="1487">
        <v>1</v>
      </c>
      <c r="AC15" s="1487">
        <v>1</v>
      </c>
    </row>
    <row r="16" spans="1:29" ht="42" x14ac:dyDescent="0.2">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667"/>
      <c r="Q16" s="1486" t="str">
        <f>B16</f>
        <v>公共配套设施</v>
      </c>
      <c r="R16" s="713" t="s">
        <v>17</v>
      </c>
      <c r="S16" s="714">
        <f>F16</f>
        <v>100</v>
      </c>
      <c r="T16" s="713" t="s">
        <v>17</v>
      </c>
      <c r="U16" s="714">
        <f>H16</f>
        <v>100</v>
      </c>
      <c r="V16" s="713" t="s">
        <v>17</v>
      </c>
      <c r="W16" s="714">
        <f>J16</f>
        <v>100</v>
      </c>
      <c r="X16" s="1489"/>
      <c r="Y16" s="3667"/>
      <c r="Z16" s="1490" t="str">
        <f>Q16</f>
        <v>公共配套设施</v>
      </c>
      <c r="AA16" s="1487">
        <f t="shared" si="3"/>
        <v>1</v>
      </c>
      <c r="AB16" s="1487">
        <f t="shared" si="4"/>
        <v>1</v>
      </c>
      <c r="AC16" s="1487">
        <f t="shared" si="5"/>
        <v>1</v>
      </c>
    </row>
    <row r="17" spans="1:29" ht="16" x14ac:dyDescent="0.2">
      <c r="A17" s="387"/>
      <c r="B17" s="415"/>
      <c r="C17" s="2037"/>
      <c r="D17" s="407"/>
      <c r="E17" s="406"/>
      <c r="F17" s="408"/>
      <c r="G17" s="406"/>
      <c r="H17" s="407"/>
      <c r="I17" s="406"/>
      <c r="J17" s="407"/>
      <c r="K17" s="572"/>
      <c r="L17" s="2900"/>
      <c r="M17" s="2894"/>
      <c r="N17" s="2894"/>
      <c r="O17" s="2952"/>
      <c r="P17" s="3667"/>
      <c r="Q17" s="1486"/>
      <c r="R17" s="713"/>
      <c r="S17" s="714"/>
      <c r="T17" s="713"/>
      <c r="U17" s="714"/>
      <c r="V17" s="713"/>
      <c r="W17" s="714"/>
      <c r="X17" s="1489"/>
      <c r="Y17" s="3667"/>
      <c r="Z17" s="1490"/>
      <c r="AA17" s="1487">
        <v>1</v>
      </c>
      <c r="AB17" s="1487">
        <v>1</v>
      </c>
      <c r="AC17" s="1487">
        <v>1</v>
      </c>
    </row>
    <row r="18" spans="1:29" ht="28" x14ac:dyDescent="0.2">
      <c r="A18" s="387"/>
      <c r="B18" s="1245"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667"/>
      <c r="Q18" s="1486" t="str">
        <f>B18</f>
        <v>基础设施水平</v>
      </c>
      <c r="R18" s="713" t="s">
        <v>17</v>
      </c>
      <c r="S18" s="714">
        <f>F18</f>
        <v>100</v>
      </c>
      <c r="T18" s="713" t="s">
        <v>17</v>
      </c>
      <c r="U18" s="714">
        <f>H18</f>
        <v>100</v>
      </c>
      <c r="V18" s="713" t="s">
        <v>17</v>
      </c>
      <c r="W18" s="714">
        <f>J18</f>
        <v>100</v>
      </c>
      <c r="X18" s="1489"/>
      <c r="Y18" s="3667"/>
      <c r="Z18" s="1490" t="str">
        <f>Q18</f>
        <v>基础设施水平</v>
      </c>
      <c r="AA18" s="1487">
        <f t="shared" ref="AA18" si="8">D18/F18</f>
        <v>1</v>
      </c>
      <c r="AB18" s="1487">
        <f t="shared" ref="AB18" si="9">D18/H18</f>
        <v>1</v>
      </c>
      <c r="AC18" s="1487">
        <f t="shared" ref="AC18" si="10">D18/J18</f>
        <v>1</v>
      </c>
    </row>
    <row r="19" spans="1:29" ht="16" x14ac:dyDescent="0.2">
      <c r="A19" s="387"/>
      <c r="B19" s="1245"/>
      <c r="C19" s="2037"/>
      <c r="D19" s="409"/>
      <c r="E19" s="2037"/>
      <c r="F19" s="412"/>
      <c r="G19" s="2037"/>
      <c r="H19" s="407"/>
      <c r="I19" s="406"/>
      <c r="J19" s="407"/>
      <c r="K19" s="1244"/>
      <c r="L19" s="2900"/>
      <c r="M19" s="2894"/>
      <c r="N19" s="2894"/>
      <c r="O19" s="2952"/>
      <c r="P19" s="3667"/>
      <c r="Q19" s="1486"/>
      <c r="R19" s="713"/>
      <c r="S19" s="714"/>
      <c r="T19" s="713"/>
      <c r="U19" s="714"/>
      <c r="V19" s="713"/>
      <c r="W19" s="714"/>
      <c r="X19" s="1489"/>
      <c r="Y19" s="3667"/>
      <c r="Z19" s="1490"/>
      <c r="AA19" s="1487">
        <v>1</v>
      </c>
      <c r="AB19" s="1487">
        <v>1</v>
      </c>
      <c r="AC19" s="1487">
        <v>1</v>
      </c>
    </row>
    <row r="20" spans="1:29" ht="56" x14ac:dyDescent="0.2">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667"/>
      <c r="Q20" s="1486" t="str">
        <f>B20</f>
        <v>自然及人文环境</v>
      </c>
      <c r="R20" s="713" t="s">
        <v>17</v>
      </c>
      <c r="S20" s="714">
        <f>F20</f>
        <v>100</v>
      </c>
      <c r="T20" s="713" t="s">
        <v>17</v>
      </c>
      <c r="U20" s="714">
        <f>H20</f>
        <v>100</v>
      </c>
      <c r="V20" s="713" t="s">
        <v>17</v>
      </c>
      <c r="W20" s="714">
        <f>J20</f>
        <v>100</v>
      </c>
      <c r="X20" s="1489"/>
      <c r="Y20" s="3667"/>
      <c r="Z20" s="1490" t="str">
        <f>Q20</f>
        <v>自然及人文环境</v>
      </c>
      <c r="AA20" s="1487">
        <f t="shared" si="3"/>
        <v>1</v>
      </c>
      <c r="AB20" s="1487">
        <f t="shared" si="4"/>
        <v>1</v>
      </c>
      <c r="AC20" s="1487">
        <f t="shared" si="5"/>
        <v>1</v>
      </c>
    </row>
    <row r="21" spans="1:29" ht="16" x14ac:dyDescent="0.2">
      <c r="A21" s="387"/>
      <c r="B21" s="415"/>
      <c r="C21" s="406"/>
      <c r="D21" s="407"/>
      <c r="E21" s="406"/>
      <c r="F21" s="408"/>
      <c r="G21" s="406"/>
      <c r="H21" s="407"/>
      <c r="I21" s="406"/>
      <c r="J21" s="407"/>
      <c r="K21" s="572"/>
      <c r="L21" s="2900"/>
      <c r="M21" s="2894"/>
      <c r="N21" s="2894"/>
      <c r="O21" s="2952"/>
      <c r="P21" s="3667"/>
      <c r="Q21" s="1486"/>
      <c r="R21" s="713"/>
      <c r="S21" s="714"/>
      <c r="T21" s="713"/>
      <c r="U21" s="714"/>
      <c r="V21" s="713"/>
      <c r="W21" s="714"/>
      <c r="X21" s="1489"/>
      <c r="Y21" s="3667"/>
      <c r="Z21" s="1490"/>
      <c r="AA21" s="1487">
        <v>1</v>
      </c>
      <c r="AB21" s="1487">
        <v>1</v>
      </c>
      <c r="AC21" s="1487">
        <v>1</v>
      </c>
    </row>
    <row r="22" spans="1:29" ht="16" x14ac:dyDescent="0.2">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667"/>
      <c r="Q22" s="1486" t="str">
        <f>B22</f>
        <v>楼层</v>
      </c>
      <c r="R22" s="713" t="s">
        <v>17</v>
      </c>
      <c r="S22" s="714">
        <f>F22</f>
        <v>100</v>
      </c>
      <c r="T22" s="713" t="s">
        <v>17</v>
      </c>
      <c r="U22" s="714">
        <f>H22</f>
        <v>100</v>
      </c>
      <c r="V22" s="713" t="s">
        <v>17</v>
      </c>
      <c r="W22" s="714">
        <f>J22</f>
        <v>100</v>
      </c>
      <c r="X22" s="1489"/>
      <c r="Y22" s="3667"/>
      <c r="Z22" s="1490" t="str">
        <f>Q22</f>
        <v>楼层</v>
      </c>
      <c r="AA22" s="1487">
        <f t="shared" si="3"/>
        <v>1</v>
      </c>
      <c r="AB22" s="1487">
        <f t="shared" si="4"/>
        <v>1</v>
      </c>
      <c r="AC22" s="1487">
        <f t="shared" si="5"/>
        <v>1</v>
      </c>
    </row>
    <row r="23" spans="1:29" ht="16" x14ac:dyDescent="0.2">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667"/>
      <c r="Q23" s="1486">
        <f>B23</f>
        <v>111</v>
      </c>
      <c r="R23" s="713" t="s">
        <v>17</v>
      </c>
      <c r="S23" s="714">
        <f>F23</f>
        <v>100</v>
      </c>
      <c r="T23" s="713" t="s">
        <v>17</v>
      </c>
      <c r="U23" s="714">
        <f>H23</f>
        <v>100</v>
      </c>
      <c r="V23" s="713" t="s">
        <v>17</v>
      </c>
      <c r="W23" s="714">
        <f>J23</f>
        <v>100</v>
      </c>
      <c r="X23" s="1489"/>
      <c r="Y23" s="3667"/>
      <c r="Z23" s="1490">
        <f>Q23</f>
        <v>111</v>
      </c>
      <c r="AA23" s="1487">
        <f t="shared" si="3"/>
        <v>1</v>
      </c>
      <c r="AB23" s="1487">
        <f t="shared" si="4"/>
        <v>1</v>
      </c>
      <c r="AC23" s="1487">
        <f t="shared" si="5"/>
        <v>1</v>
      </c>
    </row>
    <row r="24" spans="1:29" ht="16" x14ac:dyDescent="0.2">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667"/>
      <c r="Q24" s="1486">
        <f t="shared" ref="Q24:Q34" si="11">B24</f>
        <v>111</v>
      </c>
      <c r="R24" s="713" t="s">
        <v>17</v>
      </c>
      <c r="S24" s="714">
        <f>F24</f>
        <v>100</v>
      </c>
      <c r="T24" s="713" t="s">
        <v>17</v>
      </c>
      <c r="U24" s="714">
        <f>H24</f>
        <v>100</v>
      </c>
      <c r="V24" s="713" t="s">
        <v>17</v>
      </c>
      <c r="W24" s="714">
        <f>J24</f>
        <v>100</v>
      </c>
      <c r="X24" s="1489"/>
      <c r="Y24" s="3667"/>
      <c r="Z24" s="1490">
        <f>Q24</f>
        <v>111</v>
      </c>
      <c r="AA24" s="1487">
        <f t="shared" si="3"/>
        <v>1</v>
      </c>
      <c r="AB24" s="1487">
        <f t="shared" si="4"/>
        <v>1</v>
      </c>
      <c r="AC24" s="1487">
        <f t="shared" si="5"/>
        <v>1</v>
      </c>
    </row>
    <row r="25" spans="1:29" s="113" customFormat="1" ht="17" thickBot="1" x14ac:dyDescent="0.25">
      <c r="A25" s="390"/>
      <c r="B25" s="2029">
        <v>111</v>
      </c>
      <c r="C25" s="2112"/>
      <c r="D25" s="620">
        <v>100</v>
      </c>
      <c r="E25" s="2112"/>
      <c r="F25" s="621">
        <f>SUMIF(75:75,E25,76:76)-SUMIF(75:75,C25,76:76)+100</f>
        <v>100</v>
      </c>
      <c r="G25" s="2112"/>
      <c r="H25" s="620">
        <f>SUMIF(75:75,G25,76:76)-SUMIF(75:75,C25,76:76)+100</f>
        <v>100</v>
      </c>
      <c r="I25" s="2112"/>
      <c r="J25" s="620">
        <f>SUMIF(75:75,I25,76:76)-SUMIF(75:75,C25,76:76)+100</f>
        <v>100</v>
      </c>
      <c r="K25" s="570"/>
      <c r="L25" s="2895"/>
      <c r="M25" s="2896"/>
      <c r="N25" s="2896"/>
      <c r="O25" s="2950"/>
      <c r="P25" s="3667"/>
      <c r="Q25" s="1477">
        <f t="shared" si="11"/>
        <v>111</v>
      </c>
      <c r="R25" s="709" t="s">
        <v>17</v>
      </c>
      <c r="S25" s="710">
        <f>F25</f>
        <v>100</v>
      </c>
      <c r="T25" s="709" t="s">
        <v>17</v>
      </c>
      <c r="U25" s="710">
        <f>H25</f>
        <v>100</v>
      </c>
      <c r="V25" s="709" t="s">
        <v>17</v>
      </c>
      <c r="W25" s="710">
        <f>J25</f>
        <v>100</v>
      </c>
      <c r="X25" s="711"/>
      <c r="Y25" s="3667"/>
      <c r="Z25" s="55">
        <f>Q25</f>
        <v>111</v>
      </c>
      <c r="AA25" s="1487">
        <f>D25/F25</f>
        <v>1</v>
      </c>
      <c r="AB25" s="1487">
        <f>D25/H25</f>
        <v>1</v>
      </c>
      <c r="AC25" s="1487">
        <f>D25/J25</f>
        <v>1</v>
      </c>
    </row>
    <row r="26" spans="1:29" ht="16" x14ac:dyDescent="0.2">
      <c r="A26" s="425" t="s">
        <v>2143</v>
      </c>
      <c r="B26" s="67" t="s">
        <v>2294</v>
      </c>
      <c r="C26" s="2103"/>
      <c r="D26" s="426">
        <v>100</v>
      </c>
      <c r="E26" s="2103"/>
      <c r="F26" s="622">
        <f>SUMIF(77:77,E26,78:78)-SUMIF(77:77,C26,78:78)+100</f>
        <v>100</v>
      </c>
      <c r="G26" s="2103"/>
      <c r="H26" s="426">
        <f>SUMIF(77:77,G26,78:78)-SUMIF(77:77,C26,78:78)+100</f>
        <v>100</v>
      </c>
      <c r="I26" s="2103"/>
      <c r="J26" s="426">
        <f>SUMIF(77:77,I26,78:78)-SUMIF(77:77,C26,78:78)+100</f>
        <v>100</v>
      </c>
      <c r="K26" s="569"/>
      <c r="L26" s="2900"/>
      <c r="M26" s="2894"/>
      <c r="N26" s="2894"/>
      <c r="O26" s="2952"/>
      <c r="P26" s="3722"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671" t="s">
        <v>2145</v>
      </c>
      <c r="Z26" s="1490" t="str">
        <f t="shared" ref="Z26:Z34" si="15">Q26</f>
        <v>公共部分装修</v>
      </c>
      <c r="AA26" s="1487">
        <f t="shared" si="3"/>
        <v>1</v>
      </c>
      <c r="AB26" s="1487">
        <f t="shared" si="4"/>
        <v>1</v>
      </c>
      <c r="AC26" s="1487">
        <f t="shared" si="5"/>
        <v>1</v>
      </c>
    </row>
    <row r="27" spans="1:29" s="430" customFormat="1" ht="16" x14ac:dyDescent="0.2">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671"/>
      <c r="Q27" s="715" t="str">
        <f t="shared" si="11"/>
        <v>成新率</v>
      </c>
      <c r="R27" s="716" t="s">
        <v>17</v>
      </c>
      <c r="S27" s="717" t="e">
        <f t="shared" si="12"/>
        <v>#N/A</v>
      </c>
      <c r="T27" s="716" t="s">
        <v>17</v>
      </c>
      <c r="U27" s="717" t="e">
        <f t="shared" si="13"/>
        <v>#N/A</v>
      </c>
      <c r="V27" s="716" t="s">
        <v>17</v>
      </c>
      <c r="W27" s="717" t="e">
        <f t="shared" si="14"/>
        <v>#N/A</v>
      </c>
      <c r="X27" s="718"/>
      <c r="Y27" s="3671"/>
      <c r="Z27" s="719" t="str">
        <f t="shared" si="15"/>
        <v>成新率</v>
      </c>
      <c r="AA27" s="1487" t="e">
        <f t="shared" si="3"/>
        <v>#N/A</v>
      </c>
      <c r="AB27" s="1487" t="e">
        <f t="shared" si="4"/>
        <v>#N/A</v>
      </c>
      <c r="AC27" s="1487" t="e">
        <f t="shared" si="5"/>
        <v>#N/A</v>
      </c>
    </row>
    <row r="28" spans="1:29" ht="16" x14ac:dyDescent="0.2">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671"/>
      <c r="Q28" s="1486" t="str">
        <f t="shared" si="11"/>
        <v>物业等级</v>
      </c>
      <c r="R28" s="713" t="s">
        <v>17</v>
      </c>
      <c r="S28" s="714">
        <f t="shared" si="12"/>
        <v>100</v>
      </c>
      <c r="T28" s="713" t="s">
        <v>17</v>
      </c>
      <c r="U28" s="714">
        <f t="shared" si="13"/>
        <v>100</v>
      </c>
      <c r="V28" s="713" t="s">
        <v>17</v>
      </c>
      <c r="W28" s="714">
        <f t="shared" si="14"/>
        <v>100</v>
      </c>
      <c r="X28" s="1489"/>
      <c r="Y28" s="3671"/>
      <c r="Z28" s="1490" t="str">
        <f t="shared" si="15"/>
        <v>物业等级</v>
      </c>
      <c r="AA28" s="1487">
        <f t="shared" si="3"/>
        <v>1</v>
      </c>
      <c r="AB28" s="1487">
        <f t="shared" si="4"/>
        <v>1</v>
      </c>
      <c r="AC28" s="1487">
        <f t="shared" si="5"/>
        <v>1</v>
      </c>
    </row>
    <row r="29" spans="1:29" ht="16" x14ac:dyDescent="0.2">
      <c r="A29" s="431"/>
      <c r="B29" s="381" t="s">
        <v>2317</v>
      </c>
      <c r="C29" s="612"/>
      <c r="D29" s="394">
        <v>100</v>
      </c>
      <c r="E29" s="612"/>
      <c r="F29" s="420">
        <f>SUMIF(84:84,E29,85:85)-SUMIF(84:84,C29,85:85)+100</f>
        <v>100</v>
      </c>
      <c r="G29" s="612"/>
      <c r="H29" s="394">
        <f>SUMIF(84:84,G29,85:85)-SUMIF(84:84,C29,85:85)+100</f>
        <v>100</v>
      </c>
      <c r="I29" s="612"/>
      <c r="J29" s="394">
        <f>SUMIF(84:84,I29,85:85)-SUMIF(84:84,C29,85:85)+100</f>
        <v>100</v>
      </c>
      <c r="K29" s="569"/>
      <c r="L29" s="2900"/>
      <c r="M29" s="2894"/>
      <c r="N29" s="2894"/>
      <c r="O29" s="2952"/>
      <c r="P29" s="3671"/>
      <c r="Q29" s="1486" t="str">
        <f t="shared" si="11"/>
        <v>有无电梯</v>
      </c>
      <c r="R29" s="713" t="s">
        <v>17</v>
      </c>
      <c r="S29" s="714">
        <f t="shared" si="12"/>
        <v>100</v>
      </c>
      <c r="T29" s="713" t="s">
        <v>17</v>
      </c>
      <c r="U29" s="714">
        <f t="shared" si="13"/>
        <v>100</v>
      </c>
      <c r="V29" s="713" t="s">
        <v>17</v>
      </c>
      <c r="W29" s="714">
        <f t="shared" si="14"/>
        <v>100</v>
      </c>
      <c r="X29" s="1489"/>
      <c r="Y29" s="3671"/>
      <c r="Z29" s="1490" t="str">
        <f t="shared" si="15"/>
        <v>有无电梯</v>
      </c>
      <c r="AA29" s="1487">
        <f t="shared" si="3"/>
        <v>1</v>
      </c>
      <c r="AB29" s="1487">
        <f t="shared" si="4"/>
        <v>1</v>
      </c>
      <c r="AC29" s="1487">
        <f t="shared" si="5"/>
        <v>1</v>
      </c>
    </row>
    <row r="30" spans="1:29" ht="16" x14ac:dyDescent="0.2">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671"/>
      <c r="Q30" s="1486" t="str">
        <f t="shared" si="11"/>
        <v>建筑面积</v>
      </c>
      <c r="R30" s="713" t="s">
        <v>17</v>
      </c>
      <c r="S30" s="714" t="e">
        <f t="shared" si="12"/>
        <v>#N/A</v>
      </c>
      <c r="T30" s="713" t="s">
        <v>17</v>
      </c>
      <c r="U30" s="714" t="e">
        <f t="shared" si="13"/>
        <v>#N/A</v>
      </c>
      <c r="V30" s="713" t="s">
        <v>17</v>
      </c>
      <c r="W30" s="714" t="e">
        <f t="shared" si="14"/>
        <v>#N/A</v>
      </c>
      <c r="X30" s="1489"/>
      <c r="Y30" s="3671"/>
      <c r="Z30" s="1490" t="str">
        <f t="shared" si="15"/>
        <v>建筑面积</v>
      </c>
      <c r="AA30" s="1487" t="e">
        <f t="shared" si="3"/>
        <v>#N/A</v>
      </c>
      <c r="AB30" s="1487" t="e">
        <f t="shared" si="4"/>
        <v>#N/A</v>
      </c>
      <c r="AC30" s="1487" t="e">
        <f t="shared" si="5"/>
        <v>#N/A</v>
      </c>
    </row>
    <row r="31" spans="1:29" s="113" customFormat="1" ht="16" x14ac:dyDescent="0.2">
      <c r="A31" s="432"/>
      <c r="B31" s="381" t="s">
        <v>2319</v>
      </c>
      <c r="C31" s="612"/>
      <c r="D31" s="132">
        <v>100</v>
      </c>
      <c r="E31" s="612"/>
      <c r="F31" s="420">
        <f>SUMIF(89:89,E31,90:90)-SUMIF(89:89,C31,90:90)+100</f>
        <v>100</v>
      </c>
      <c r="G31" s="612"/>
      <c r="H31" s="394">
        <f>SUMIF(89:89,G31,90:90)-SUMIF(89:89,C31,90:90)+100</f>
        <v>100</v>
      </c>
      <c r="I31" s="612"/>
      <c r="J31" s="394">
        <f>SUMIF(89:89,I31,90:90)-SUMIF(89:89,C31,90:90)+100</f>
        <v>100</v>
      </c>
      <c r="K31" s="569"/>
      <c r="L31" s="2895"/>
      <c r="M31" s="2896"/>
      <c r="N31" s="2896"/>
      <c r="O31" s="2950"/>
      <c r="P31" s="3671"/>
      <c r="Q31" s="1477" t="str">
        <f t="shared" si="11"/>
        <v>是否封闭</v>
      </c>
      <c r="R31" s="709" t="s">
        <v>17</v>
      </c>
      <c r="S31" s="710">
        <f t="shared" si="12"/>
        <v>100</v>
      </c>
      <c r="T31" s="709" t="s">
        <v>17</v>
      </c>
      <c r="U31" s="710">
        <f t="shared" si="13"/>
        <v>100</v>
      </c>
      <c r="V31" s="709" t="s">
        <v>17</v>
      </c>
      <c r="W31" s="710">
        <f t="shared" si="14"/>
        <v>100</v>
      </c>
      <c r="X31" s="711"/>
      <c r="Y31" s="3671"/>
      <c r="Z31" s="55" t="str">
        <f t="shared" si="15"/>
        <v>是否封闭</v>
      </c>
      <c r="AA31" s="712">
        <f t="shared" si="3"/>
        <v>1</v>
      </c>
      <c r="AB31" s="712">
        <f t="shared" si="4"/>
        <v>1</v>
      </c>
      <c r="AC31" s="712">
        <f t="shared" si="5"/>
        <v>1</v>
      </c>
    </row>
    <row r="32" spans="1:29" ht="16" x14ac:dyDescent="0.2">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671" t="s">
        <v>2145</v>
      </c>
      <c r="Q32" s="1486">
        <f t="shared" si="11"/>
        <v>111</v>
      </c>
      <c r="R32" s="713" t="s">
        <v>17</v>
      </c>
      <c r="S32" s="714">
        <f t="shared" si="12"/>
        <v>100</v>
      </c>
      <c r="T32" s="713" t="s">
        <v>17</v>
      </c>
      <c r="U32" s="714">
        <f t="shared" si="13"/>
        <v>100</v>
      </c>
      <c r="V32" s="713" t="s">
        <v>17</v>
      </c>
      <c r="W32" s="714">
        <f t="shared" si="14"/>
        <v>100</v>
      </c>
      <c r="X32" s="1489"/>
      <c r="Y32" s="3671" t="s">
        <v>2145</v>
      </c>
      <c r="Z32" s="1490">
        <f t="shared" si="15"/>
        <v>111</v>
      </c>
      <c r="AA32" s="1487">
        <f t="shared" si="3"/>
        <v>1</v>
      </c>
      <c r="AB32" s="1487">
        <f t="shared" si="4"/>
        <v>1</v>
      </c>
      <c r="AC32" s="1487">
        <f t="shared" si="5"/>
        <v>1</v>
      </c>
    </row>
    <row r="33" spans="1:30" ht="16" x14ac:dyDescent="0.2">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671"/>
      <c r="Q33" s="1486">
        <f t="shared" si="11"/>
        <v>111</v>
      </c>
      <c r="R33" s="713" t="s">
        <v>17</v>
      </c>
      <c r="S33" s="714">
        <f t="shared" si="12"/>
        <v>100</v>
      </c>
      <c r="T33" s="713" t="s">
        <v>17</v>
      </c>
      <c r="U33" s="714">
        <f t="shared" si="13"/>
        <v>100</v>
      </c>
      <c r="V33" s="713" t="s">
        <v>17</v>
      </c>
      <c r="W33" s="714">
        <f t="shared" si="14"/>
        <v>100</v>
      </c>
      <c r="X33" s="1489"/>
      <c r="Y33" s="3671"/>
      <c r="Z33" s="1490">
        <f t="shared" si="15"/>
        <v>111</v>
      </c>
      <c r="AA33" s="1487">
        <f t="shared" si="3"/>
        <v>1</v>
      </c>
      <c r="AB33" s="1487">
        <f t="shared" si="4"/>
        <v>1</v>
      </c>
      <c r="AC33" s="1487">
        <f t="shared" si="5"/>
        <v>1</v>
      </c>
    </row>
    <row r="34" spans="1:30" ht="17" thickBot="1" x14ac:dyDescent="0.25">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671"/>
      <c r="Q34" s="1486">
        <f t="shared" si="11"/>
        <v>111</v>
      </c>
      <c r="R34" s="713" t="s">
        <v>17</v>
      </c>
      <c r="S34" s="714">
        <f t="shared" si="12"/>
        <v>100</v>
      </c>
      <c r="T34" s="713" t="s">
        <v>17</v>
      </c>
      <c r="U34" s="714">
        <f t="shared" si="13"/>
        <v>100</v>
      </c>
      <c r="V34" s="713" t="s">
        <v>17</v>
      </c>
      <c r="W34" s="714">
        <f t="shared" si="14"/>
        <v>100</v>
      </c>
      <c r="X34" s="1489"/>
      <c r="Y34" s="3671"/>
      <c r="Z34" s="1490">
        <f t="shared" si="15"/>
        <v>111</v>
      </c>
      <c r="AA34" s="1487">
        <f t="shared" si="3"/>
        <v>1</v>
      </c>
      <c r="AB34" s="1487">
        <f t="shared" si="4"/>
        <v>1</v>
      </c>
      <c r="AC34" s="1487">
        <f t="shared" si="5"/>
        <v>1</v>
      </c>
    </row>
    <row r="35" spans="1:30" x14ac:dyDescent="0.2">
      <c r="A35" s="438" t="s">
        <v>2157</v>
      </c>
      <c r="B35" s="439"/>
      <c r="C35" s="1268" t="s">
        <v>1</v>
      </c>
      <c r="D35" s="1269"/>
      <c r="E35" s="1270"/>
      <c r="F35" s="1271"/>
      <c r="G35" s="1272"/>
      <c r="H35" s="1273"/>
      <c r="I35" s="1270"/>
      <c r="J35" s="1273"/>
      <c r="K35" s="722"/>
      <c r="L35" s="2902"/>
      <c r="M35" s="2903"/>
      <c r="N35" s="2894"/>
      <c r="O35" s="2903"/>
      <c r="P35" s="3664" t="str">
        <f>A35</f>
        <v>成交单价（元/平方米）</v>
      </c>
      <c r="Q35" s="3664"/>
      <c r="R35" s="3665">
        <f>E35</f>
        <v>0</v>
      </c>
      <c r="S35" s="3665"/>
      <c r="T35" s="3665">
        <f>G35</f>
        <v>0</v>
      </c>
      <c r="U35" s="3665"/>
      <c r="V35" s="3665">
        <f>I35</f>
        <v>0</v>
      </c>
      <c r="W35" s="3665"/>
      <c r="X35" s="698"/>
      <c r="Y35" s="720"/>
      <c r="Z35" s="698"/>
      <c r="AA35" s="698"/>
      <c r="AB35" s="698"/>
      <c r="AC35" s="698"/>
    </row>
    <row r="36" spans="1:30" ht="15" thickBot="1" x14ac:dyDescent="0.25">
      <c r="A36" s="445" t="s">
        <v>2249</v>
      </c>
      <c r="B36" s="446"/>
      <c r="C36" s="1274" t="e">
        <f>R37</f>
        <v>#DIV/0!</v>
      </c>
      <c r="D36" s="2488" t="s">
        <v>2639</v>
      </c>
      <c r="E36" s="1275" t="e">
        <f>R36</f>
        <v>#DIV/0!</v>
      </c>
      <c r="F36" s="2489"/>
      <c r="G36" s="1274" t="e">
        <f>T36</f>
        <v>#DIV/0!</v>
      </c>
      <c r="H36" s="2489"/>
      <c r="I36" s="1275" t="e">
        <f>V36</f>
        <v>#DIV/0!</v>
      </c>
      <c r="J36" s="2489"/>
      <c r="K36" s="2491">
        <f>F36+H36+J36</f>
        <v>0</v>
      </c>
      <c r="L36" s="2902"/>
      <c r="M36" s="2903"/>
      <c r="N36" s="2894"/>
      <c r="O36" s="2903"/>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8"/>
      <c r="Y36" s="698"/>
      <c r="Z36" s="698"/>
      <c r="AA36" s="698"/>
      <c r="AB36" s="698"/>
      <c r="AC36" s="698"/>
    </row>
    <row r="37" spans="1:30" ht="15" thickBot="1" x14ac:dyDescent="0.25">
      <c r="A37" s="449" t="s">
        <v>2250</v>
      </c>
      <c r="B37" s="450"/>
      <c r="C37" s="1277" t="e">
        <f>R37</f>
        <v>#DIV/0!</v>
      </c>
      <c r="D37" s="1277"/>
      <c r="E37" s="1277"/>
      <c r="F37" s="1277"/>
      <c r="G37" s="1277"/>
      <c r="H37" s="1277"/>
      <c r="I37" s="1277"/>
      <c r="J37" s="1277"/>
      <c r="K37" s="723"/>
      <c r="L37" s="2902"/>
      <c r="M37" s="2903"/>
      <c r="N37" s="2903"/>
      <c r="O37" s="2903"/>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8"/>
      <c r="Y37" s="698"/>
      <c r="Z37" s="698"/>
      <c r="AA37" s="698"/>
      <c r="AB37" s="698"/>
      <c r="AC37" s="698"/>
    </row>
    <row r="38" spans="1:30" x14ac:dyDescent="0.2">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x14ac:dyDescent="0.2">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x14ac:dyDescent="0.2">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x14ac:dyDescent="0.2">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x14ac:dyDescent="0.2">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x14ac:dyDescent="0.2">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x14ac:dyDescent="0.2">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 thickBot="1" x14ac:dyDescent="0.25">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5" customFormat="1" x14ac:dyDescent="0.2">
      <c r="A46" s="462" t="s">
        <v>2128</v>
      </c>
      <c r="B46" s="463"/>
      <c r="C46" s="1298" t="str">
        <f>YEAR(C7)&amp;"-"&amp;MONTH(C7)</f>
        <v>2022-11</v>
      </c>
      <c r="D46" s="1299">
        <f>EDATE(C46,-1)</f>
        <v>44835</v>
      </c>
      <c r="E46" s="1299">
        <f t="shared" ref="E46:O46" si="16">EDATE(D46,-1)</f>
        <v>44805</v>
      </c>
      <c r="F46" s="1299">
        <f t="shared" si="16"/>
        <v>44774</v>
      </c>
      <c r="G46" s="1299">
        <f t="shared" si="16"/>
        <v>44743</v>
      </c>
      <c r="H46" s="1299">
        <f t="shared" si="16"/>
        <v>44713</v>
      </c>
      <c r="I46" s="1299">
        <f t="shared" si="16"/>
        <v>44682</v>
      </c>
      <c r="J46" s="1299">
        <f t="shared" si="16"/>
        <v>44652</v>
      </c>
      <c r="K46" s="1299">
        <f t="shared" si="16"/>
        <v>44621</v>
      </c>
      <c r="L46" s="1299">
        <f t="shared" si="16"/>
        <v>44593</v>
      </c>
      <c r="M46" s="1299">
        <f t="shared" si="16"/>
        <v>44562</v>
      </c>
      <c r="N46" s="1299">
        <f t="shared" si="16"/>
        <v>44531</v>
      </c>
      <c r="O46" s="1299">
        <f t="shared" si="16"/>
        <v>44501</v>
      </c>
      <c r="P46" s="2954"/>
      <c r="Q46" s="2919"/>
      <c r="R46" s="2919"/>
      <c r="S46" s="2919"/>
      <c r="T46" s="2919"/>
      <c r="U46" s="2919"/>
      <c r="V46" s="2919"/>
      <c r="W46" s="2919"/>
      <c r="X46" s="2919"/>
      <c r="Y46" s="2919"/>
      <c r="Z46" s="2919"/>
      <c r="AA46" s="2919"/>
      <c r="AB46" s="2919"/>
      <c r="AC46" s="2919"/>
      <c r="AD46" s="2919"/>
    </row>
    <row r="47" spans="1:30" s="113" customFormat="1" x14ac:dyDescent="0.2">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 thickBot="1" x14ac:dyDescent="0.25">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x14ac:dyDescent="0.2">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 thickBot="1" x14ac:dyDescent="0.25">
      <c r="A50" s="478"/>
      <c r="B50" s="467"/>
      <c r="C50" s="594">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x14ac:dyDescent="0.2">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 thickBot="1" x14ac:dyDescent="0.25">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9" thickTop="1" x14ac:dyDescent="0.2">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 thickBot="1" x14ac:dyDescent="0.25">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 thickTop="1" x14ac:dyDescent="0.2">
      <c r="A55" s="491"/>
      <c r="B55" s="615">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 thickBot="1" x14ac:dyDescent="0.25">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 thickTop="1" x14ac:dyDescent="0.2">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 thickBot="1" x14ac:dyDescent="0.25">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 thickTop="1" x14ac:dyDescent="0.2">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 thickBot="1" x14ac:dyDescent="0.25">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x14ac:dyDescent="0.2">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 thickBot="1" x14ac:dyDescent="0.25">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9" thickTop="1" x14ac:dyDescent="0.2">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 thickBot="1" x14ac:dyDescent="0.25">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 thickTop="1" x14ac:dyDescent="0.2">
      <c r="A65" s="491"/>
      <c r="B65" s="503" t="s">
        <v>2269</v>
      </c>
      <c r="C65" s="615" t="s">
        <v>2255</v>
      </c>
      <c r="D65" s="615" t="s">
        <v>2256</v>
      </c>
      <c r="E65" s="615" t="s">
        <v>2257</v>
      </c>
      <c r="F65" s="615" t="s">
        <v>2258</v>
      </c>
      <c r="G65" s="615" t="s">
        <v>2259</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 thickBot="1" x14ac:dyDescent="0.25">
      <c r="A66" s="491"/>
      <c r="B66" s="503"/>
      <c r="C66" s="501">
        <v>100</v>
      </c>
      <c r="D66" s="501">
        <f>C66-$K18</f>
        <v>100</v>
      </c>
      <c r="E66" s="501">
        <f>D66-$K18</f>
        <v>100</v>
      </c>
      <c r="F66" s="501">
        <f>E66-$K18</f>
        <v>100</v>
      </c>
      <c r="G66" s="501">
        <f>F66-$K18</f>
        <v>100</v>
      </c>
      <c r="H66" s="615"/>
      <c r="I66" s="615"/>
      <c r="J66" s="615"/>
      <c r="K66" s="615"/>
      <c r="L66" s="615"/>
      <c r="M66" s="409"/>
      <c r="N66" s="2932"/>
      <c r="O66" s="2932"/>
      <c r="P66" s="2956"/>
      <c r="Q66" s="2917"/>
      <c r="R66" s="2903"/>
      <c r="S66" s="2903"/>
      <c r="T66" s="2903"/>
      <c r="U66" s="2903"/>
      <c r="V66" s="2903"/>
      <c r="W66" s="2903"/>
      <c r="X66" s="2903"/>
      <c r="Y66" s="2903"/>
      <c r="Z66" s="2903"/>
      <c r="AA66" s="2903"/>
      <c r="AB66" s="2903"/>
      <c r="AC66" s="2903"/>
      <c r="AD66" s="2903"/>
    </row>
    <row r="67" spans="1:30" ht="15" thickTop="1" x14ac:dyDescent="0.2">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 thickBot="1" x14ac:dyDescent="0.25">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 thickTop="1" x14ac:dyDescent="0.2">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 thickBot="1" x14ac:dyDescent="0.25">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 thickTop="1" x14ac:dyDescent="0.2">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 thickBot="1" x14ac:dyDescent="0.25">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 thickTop="1" x14ac:dyDescent="0.2">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 thickBot="1" x14ac:dyDescent="0.25">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 thickTop="1" x14ac:dyDescent="0.2">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 thickBot="1" x14ac:dyDescent="0.25">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x14ac:dyDescent="0.2">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 thickBot="1" x14ac:dyDescent="0.25">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 thickTop="1" x14ac:dyDescent="0.2">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x14ac:dyDescent="0.2">
      <c r="A80" s="491"/>
      <c r="B80" s="503"/>
      <c r="C80" s="560">
        <v>0.5</v>
      </c>
      <c r="D80" s="560">
        <v>0.6</v>
      </c>
      <c r="E80" s="560">
        <v>0.7</v>
      </c>
      <c r="F80" s="560">
        <v>0.8</v>
      </c>
      <c r="G80" s="560">
        <v>0.9</v>
      </c>
      <c r="H80" s="560">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30" customFormat="1" ht="15" thickBot="1" x14ac:dyDescent="0.25">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x14ac:dyDescent="0.2">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 thickBot="1" x14ac:dyDescent="0.25">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x14ac:dyDescent="0.2">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 thickBot="1" x14ac:dyDescent="0.25">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x14ac:dyDescent="0.2">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x14ac:dyDescent="0.2">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 thickBot="1" x14ac:dyDescent="0.25">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x14ac:dyDescent="0.2">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 thickBot="1" x14ac:dyDescent="0.25">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x14ac:dyDescent="0.2">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 thickBot="1" x14ac:dyDescent="0.25">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x14ac:dyDescent="0.2">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 thickBot="1" x14ac:dyDescent="0.25">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x14ac:dyDescent="0.2">
      <c r="A95" s="556"/>
      <c r="B95" s="591">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 thickBot="1" x14ac:dyDescent="0.25">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x14ac:dyDescent="0.2">
      <c r="N97" s="2903"/>
      <c r="O97" s="2903"/>
      <c r="P97" s="2903"/>
      <c r="Q97" s="2903"/>
      <c r="R97" s="2903"/>
      <c r="S97" s="2903"/>
      <c r="T97" s="2903"/>
      <c r="U97" s="2903"/>
      <c r="V97" s="2903"/>
      <c r="W97" s="2903"/>
      <c r="X97" s="2903"/>
      <c r="Y97" s="2903"/>
      <c r="Z97" s="2903"/>
      <c r="AA97" s="2903"/>
      <c r="AB97" s="2903"/>
      <c r="AC97" s="2903"/>
      <c r="AD97" s="2903"/>
    </row>
    <row r="98" spans="1:30" x14ac:dyDescent="0.2">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x14ac:dyDescent="0.2">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x14ac:dyDescent="0.2">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x14ac:dyDescent="0.2">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x14ac:dyDescent="0.2">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x14ac:dyDescent="0.2">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x14ac:dyDescent="0.2">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x14ac:dyDescent="0.2">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x14ac:dyDescent="0.2">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x14ac:dyDescent="0.2">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x14ac:dyDescent="0.2">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x14ac:dyDescent="0.2">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x14ac:dyDescent="0.2">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x14ac:dyDescent="0.2">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x14ac:dyDescent="0.2">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x14ac:dyDescent="0.2">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x14ac:dyDescent="0.2">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x14ac:dyDescent="0.2">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x14ac:dyDescent="0.2">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x14ac:dyDescent="0.2">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x14ac:dyDescent="0.2">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x14ac:dyDescent="0.2">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x14ac:dyDescent="0.2">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x14ac:dyDescent="0.2">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x14ac:dyDescent="0.2">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x14ac:dyDescent="0.2">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x14ac:dyDescent="0.2">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x14ac:dyDescent="0.2">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x14ac:dyDescent="0.2">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x14ac:dyDescent="0.2">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x14ac:dyDescent="0.2">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x14ac:dyDescent="0.2">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x14ac:dyDescent="0.2">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x14ac:dyDescent="0.2">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x14ac:dyDescent="0.2">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x14ac:dyDescent="0.2">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x14ac:dyDescent="0.2">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x14ac:dyDescent="0.2">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x14ac:dyDescent="0.2">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x14ac:dyDescent="0.2">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x14ac:dyDescent="0.2">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x14ac:dyDescent="0.2">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x14ac:dyDescent="0.2">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x14ac:dyDescent="0.2">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x14ac:dyDescent="0.2">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x14ac:dyDescent="0.2">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x14ac:dyDescent="0.2">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x14ac:dyDescent="0.2">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x14ac:dyDescent="0.2">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x14ac:dyDescent="0.2">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x14ac:dyDescent="0.2">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x14ac:dyDescent="0.2">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x14ac:dyDescent="0.2">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x14ac:dyDescent="0.2">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x14ac:dyDescent="0.2">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x14ac:dyDescent="0.2">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x14ac:dyDescent="0.2">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x14ac:dyDescent="0.2">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x14ac:dyDescent="0.2">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x14ac:dyDescent="0.2">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x14ac:dyDescent="0.2">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x14ac:dyDescent="0.2">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x14ac:dyDescent="0.2">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x14ac:dyDescent="0.2">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x14ac:dyDescent="0.2">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x14ac:dyDescent="0.2">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x14ac:dyDescent="0.2">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x14ac:dyDescent="0.2">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x14ac:dyDescent="0.2">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x14ac:dyDescent="0.2">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x14ac:dyDescent="0.2">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x14ac:dyDescent="0.2">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x14ac:dyDescent="0.2">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x14ac:dyDescent="0.2">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x14ac:dyDescent="0.2">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x14ac:dyDescent="0.2">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x14ac:dyDescent="0.2">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x14ac:dyDescent="0.2">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x14ac:dyDescent="0.2">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x14ac:dyDescent="0.2">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x14ac:dyDescent="0.2">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x14ac:dyDescent="0.2">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x14ac:dyDescent="0.2">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x14ac:dyDescent="0.2">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x14ac:dyDescent="0.2">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x14ac:dyDescent="0.2">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x14ac:dyDescent="0.2">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x14ac:dyDescent="0.2">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x14ac:dyDescent="0.2">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x14ac:dyDescent="0.2">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x14ac:dyDescent="0.2">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x14ac:dyDescent="0.2">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x14ac:dyDescent="0.2">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x14ac:dyDescent="0.2">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x14ac:dyDescent="0.2">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x14ac:dyDescent="0.2">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x14ac:dyDescent="0.2">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x14ac:dyDescent="0.2">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x14ac:dyDescent="0.2">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x14ac:dyDescent="0.2">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x14ac:dyDescent="0.2">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x14ac:dyDescent="0.2">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x14ac:dyDescent="0.2">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x14ac:dyDescent="0.2">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x14ac:dyDescent="0.2">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x14ac:dyDescent="0.2">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x14ac:dyDescent="0.2">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x14ac:dyDescent="0.2">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x14ac:dyDescent="0.2">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x14ac:dyDescent="0.2">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x14ac:dyDescent="0.2">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x14ac:dyDescent="0.2">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x14ac:dyDescent="0.2">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x14ac:dyDescent="0.2">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x14ac:dyDescent="0.2">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x14ac:dyDescent="0.2">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x14ac:dyDescent="0.2">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x14ac:dyDescent="0.2">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x14ac:dyDescent="0.2">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x14ac:dyDescent="0.2">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x14ac:dyDescent="0.2">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x14ac:dyDescent="0.2">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x14ac:dyDescent="0.2">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x14ac:dyDescent="0.2">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x14ac:dyDescent="0.2">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x14ac:dyDescent="0.2">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x14ac:dyDescent="0.2">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x14ac:dyDescent="0.2">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x14ac:dyDescent="0.2">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x14ac:dyDescent="0.2">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x14ac:dyDescent="0.2">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x14ac:dyDescent="0.2">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x14ac:dyDescent="0.2">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x14ac:dyDescent="0.2">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x14ac:dyDescent="0.2">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x14ac:dyDescent="0.2">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x14ac:dyDescent="0.2">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x14ac:dyDescent="0.2">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x14ac:dyDescent="0.2">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x14ac:dyDescent="0.2">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x14ac:dyDescent="0.2">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x14ac:dyDescent="0.2">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x14ac:dyDescent="0.2">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x14ac:dyDescent="0.2">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1"/>
  <sheetViews>
    <sheetView view="pageBreakPreview" zoomScale="60" zoomScaleNormal="60" workbookViewId="0">
      <selection activeCell="Q72" sqref="Q72"/>
    </sheetView>
  </sheetViews>
  <sheetFormatPr baseColWidth="10" defaultColWidth="9" defaultRowHeight="14" x14ac:dyDescent="0.2"/>
  <cols>
    <col min="1" max="1" width="14.33203125" style="363" customWidth="1"/>
    <col min="2" max="2" width="15.6640625" style="363" customWidth="1"/>
    <col min="3" max="3" width="14.33203125" style="363" customWidth="1"/>
    <col min="4" max="4" width="14.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363"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30" s="358" customFormat="1" ht="28.5" customHeight="1" x14ac:dyDescent="0.2">
      <c r="A1" s="354" t="s">
        <v>2324</v>
      </c>
      <c r="B1" s="355"/>
      <c r="C1" s="356"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x14ac:dyDescent="0.2">
      <c r="A2" s="207" t="s">
        <v>1907</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7"/>
    </row>
    <row r="3" spans="1:30" s="358" customFormat="1" ht="28.5" customHeight="1" thickBot="1" x14ac:dyDescent="0.25">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x14ac:dyDescent="0.2">
      <c r="A4" s="361" t="s">
        <v>2225</v>
      </c>
      <c r="B4" s="362"/>
      <c r="C4" s="3679" t="s">
        <v>2226</v>
      </c>
      <c r="D4" s="3680"/>
      <c r="E4" s="3681" t="s">
        <v>2227</v>
      </c>
      <c r="F4" s="3682"/>
      <c r="G4" s="3679" t="s">
        <v>2228</v>
      </c>
      <c r="H4" s="3680"/>
      <c r="I4" s="3679" t="s">
        <v>2229</v>
      </c>
      <c r="J4" s="3680"/>
      <c r="K4" s="567" t="s">
        <v>2230</v>
      </c>
      <c r="L4" s="2893"/>
      <c r="M4" s="2894"/>
      <c r="N4" s="2894"/>
      <c r="O4" s="2894"/>
      <c r="P4" s="3683" t="s">
        <v>2231</v>
      </c>
      <c r="Q4" s="3684"/>
      <c r="R4" s="3689" t="s">
        <v>2227</v>
      </c>
      <c r="S4" s="3690"/>
      <c r="T4" s="3689" t="s">
        <v>2228</v>
      </c>
      <c r="U4" s="3690"/>
      <c r="V4" s="3695" t="s">
        <v>2229</v>
      </c>
      <c r="W4" s="3695"/>
      <c r="X4" s="1489"/>
      <c r="Y4" s="3689" t="s">
        <v>2231</v>
      </c>
      <c r="Z4" s="3690"/>
      <c r="AA4" s="3676" t="s">
        <v>2227</v>
      </c>
      <c r="AB4" s="3677" t="s">
        <v>2228</v>
      </c>
      <c r="AC4" s="3676" t="s">
        <v>2229</v>
      </c>
    </row>
    <row r="5" spans="1:30" x14ac:dyDescent="0.2">
      <c r="A5" s="364"/>
      <c r="B5" s="365"/>
      <c r="C5" s="3698" t="s">
        <v>2122</v>
      </c>
      <c r="D5" s="3699"/>
      <c r="E5" s="3705" t="s">
        <v>2123</v>
      </c>
      <c r="F5" s="3706"/>
      <c r="G5" s="3698" t="s">
        <v>2124</v>
      </c>
      <c r="H5" s="3699"/>
      <c r="I5" s="3698" t="s">
        <v>2125</v>
      </c>
      <c r="J5" s="3699"/>
      <c r="K5" s="567"/>
      <c r="L5" s="2893"/>
      <c r="M5" s="2894"/>
      <c r="N5" s="2894"/>
      <c r="O5" s="2894"/>
      <c r="P5" s="3685"/>
      <c r="Q5" s="3686"/>
      <c r="R5" s="3691"/>
      <c r="S5" s="3692"/>
      <c r="T5" s="3691"/>
      <c r="U5" s="3692"/>
      <c r="V5" s="3695"/>
      <c r="W5" s="3695"/>
      <c r="X5" s="1489"/>
      <c r="Y5" s="3691"/>
      <c r="Z5" s="3692"/>
      <c r="AA5" s="3677"/>
      <c r="AB5" s="3677"/>
      <c r="AC5" s="3677"/>
    </row>
    <row r="6" spans="1:30" ht="15" thickBot="1" x14ac:dyDescent="0.25">
      <c r="A6" s="366"/>
      <c r="B6" s="367"/>
      <c r="C6" s="3696" t="s">
        <v>2126</v>
      </c>
      <c r="D6" s="3697"/>
      <c r="E6" s="3703" t="s">
        <v>2126</v>
      </c>
      <c r="F6" s="3704"/>
      <c r="G6" s="3696" t="s">
        <v>2126</v>
      </c>
      <c r="H6" s="3697"/>
      <c r="I6" s="3696" t="s">
        <v>2126</v>
      </c>
      <c r="J6" s="3697"/>
      <c r="K6" s="567" t="s">
        <v>2127</v>
      </c>
      <c r="L6" s="2893"/>
      <c r="M6" s="2894"/>
      <c r="N6" s="2894"/>
      <c r="O6" s="2894"/>
      <c r="P6" s="3687"/>
      <c r="Q6" s="3688"/>
      <c r="R6" s="3691"/>
      <c r="S6" s="3692"/>
      <c r="T6" s="3693"/>
      <c r="U6" s="3694"/>
      <c r="V6" s="3695"/>
      <c r="W6" s="3695"/>
      <c r="X6" s="1489"/>
      <c r="Y6" s="3693"/>
      <c r="Z6" s="3694"/>
      <c r="AA6" s="3678"/>
      <c r="AB6" s="3678"/>
      <c r="AC6" s="3678"/>
    </row>
    <row r="7" spans="1:30" s="113" customFormat="1" ht="15" thickBot="1" x14ac:dyDescent="0.25">
      <c r="A7" s="368" t="s">
        <v>2128</v>
      </c>
      <c r="B7" s="369"/>
      <c r="C7" s="370">
        <f>'数据-取费表'!B2</f>
        <v>44868</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700" t="s">
        <v>2129</v>
      </c>
      <c r="Q7" s="3702"/>
      <c r="R7" s="709" t="s">
        <v>17</v>
      </c>
      <c r="S7" s="710">
        <f t="shared" ref="S7:S15" si="0">F7</f>
        <v>0</v>
      </c>
      <c r="T7" s="709" t="s">
        <v>17</v>
      </c>
      <c r="U7" s="710">
        <f t="shared" ref="U7:U15" si="1">H7</f>
        <v>0</v>
      </c>
      <c r="V7" s="709" t="s">
        <v>17</v>
      </c>
      <c r="W7" s="710">
        <f t="shared" ref="W7:W15" si="2">J7</f>
        <v>0</v>
      </c>
      <c r="X7" s="711"/>
      <c r="Y7" s="3700" t="s">
        <v>2129</v>
      </c>
      <c r="Z7" s="3701"/>
      <c r="AA7" s="712" t="e">
        <f>D7/F7</f>
        <v>#DIV/0!</v>
      </c>
      <c r="AB7" s="712" t="e">
        <f>D7/H7</f>
        <v>#DIV/0!</v>
      </c>
      <c r="AC7" s="712" t="e">
        <f>D7/J7</f>
        <v>#DIV/0!</v>
      </c>
    </row>
    <row r="8" spans="1:30" s="113" customFormat="1" ht="15" thickBot="1" x14ac:dyDescent="0.25">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700" t="s">
        <v>2132</v>
      </c>
      <c r="Q8" s="3701"/>
      <c r="R8" s="709" t="s">
        <v>17</v>
      </c>
      <c r="S8" s="710">
        <f t="shared" si="0"/>
        <v>0</v>
      </c>
      <c r="T8" s="709" t="s">
        <v>17</v>
      </c>
      <c r="U8" s="710">
        <f t="shared" si="1"/>
        <v>0</v>
      </c>
      <c r="V8" s="709" t="s">
        <v>17</v>
      </c>
      <c r="W8" s="710">
        <f t="shared" si="2"/>
        <v>0</v>
      </c>
      <c r="X8" s="711"/>
      <c r="Y8" s="3700" t="s">
        <v>2132</v>
      </c>
      <c r="Z8" s="3701"/>
      <c r="AA8" s="712" t="e">
        <f t="shared" ref="AA8:AA45" si="3">D8/F8</f>
        <v>#DIV/0!</v>
      </c>
      <c r="AB8" s="712" t="e">
        <f t="shared" ref="AB8:AB45" si="4">D8/H8</f>
        <v>#DIV/0!</v>
      </c>
      <c r="AC8" s="712" t="e">
        <f t="shared" ref="AC8:AC45" si="5">D8/J8</f>
        <v>#DIV/0!</v>
      </c>
    </row>
    <row r="9" spans="1:30" s="113" customFormat="1" x14ac:dyDescent="0.2">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664" t="s">
        <v>2135</v>
      </c>
      <c r="Q9" s="1477" t="str">
        <f t="shared" ref="Q9:Q15" si="6">B9</f>
        <v>用途</v>
      </c>
      <c r="R9" s="709" t="s">
        <v>17</v>
      </c>
      <c r="S9" s="710">
        <f t="shared" si="0"/>
        <v>100</v>
      </c>
      <c r="T9" s="709" t="s">
        <v>17</v>
      </c>
      <c r="U9" s="710">
        <f t="shared" si="1"/>
        <v>100</v>
      </c>
      <c r="V9" s="709" t="s">
        <v>17</v>
      </c>
      <c r="W9" s="710">
        <f t="shared" si="2"/>
        <v>100</v>
      </c>
      <c r="X9" s="711"/>
      <c r="Y9" s="3536" t="s">
        <v>2136</v>
      </c>
      <c r="Z9" s="55" t="str">
        <f t="shared" ref="Z9:Z15" si="7">Q9</f>
        <v>用途</v>
      </c>
      <c r="AA9" s="712">
        <f t="shared" si="3"/>
        <v>1</v>
      </c>
      <c r="AB9" s="712">
        <f t="shared" si="4"/>
        <v>1</v>
      </c>
      <c r="AC9" s="712">
        <f t="shared" si="5"/>
        <v>1</v>
      </c>
    </row>
    <row r="10" spans="1:30" s="386" customFormat="1" ht="28" x14ac:dyDescent="0.2">
      <c r="A10" s="380"/>
      <c r="B10" s="381" t="s">
        <v>2137</v>
      </c>
      <c r="C10" s="391"/>
      <c r="D10" s="132">
        <v>100</v>
      </c>
      <c r="E10" s="424"/>
      <c r="F10" s="132">
        <f>ROUND(100/'数据-取费表'!G16,0)</f>
        <v>128</v>
      </c>
      <c r="G10" s="422"/>
      <c r="H10" s="132">
        <f>ROUND(100/'数据-取费表'!G16,0)</f>
        <v>128</v>
      </c>
      <c r="I10" s="422"/>
      <c r="J10" s="132">
        <f>ROUND(100/'数据-取费表'!G16,0)</f>
        <v>128</v>
      </c>
      <c r="K10" s="627"/>
      <c r="L10" s="2897"/>
      <c r="M10" s="2898"/>
      <c r="N10" s="2898"/>
      <c r="O10" s="2951"/>
      <c r="P10" s="3664"/>
      <c r="Q10" s="1477" t="str">
        <f t="shared" si="6"/>
        <v>土地使用年限（年）</v>
      </c>
      <c r="R10" s="709" t="s">
        <v>17</v>
      </c>
      <c r="S10" s="710">
        <f t="shared" si="0"/>
        <v>128</v>
      </c>
      <c r="T10" s="709" t="s">
        <v>17</v>
      </c>
      <c r="U10" s="710">
        <f t="shared" si="1"/>
        <v>128</v>
      </c>
      <c r="V10" s="709" t="s">
        <v>17</v>
      </c>
      <c r="W10" s="710">
        <f t="shared" si="2"/>
        <v>128</v>
      </c>
      <c r="X10" s="711"/>
      <c r="Y10" s="3536"/>
      <c r="Z10" s="55" t="str">
        <f t="shared" si="7"/>
        <v>土地使用年限（年）</v>
      </c>
      <c r="AA10" s="712">
        <f t="shared" si="3"/>
        <v>0.78125</v>
      </c>
      <c r="AB10" s="712">
        <f t="shared" si="4"/>
        <v>0.78125</v>
      </c>
      <c r="AC10" s="712">
        <f t="shared" si="5"/>
        <v>0.78125</v>
      </c>
    </row>
    <row r="11" spans="1:30" ht="16" x14ac:dyDescent="0.2">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8"/>
      <c r="L11" s="2899"/>
      <c r="M11" s="2894"/>
      <c r="N11" s="2894"/>
      <c r="O11" s="2952"/>
      <c r="P11" s="3664"/>
      <c r="Q11" s="1477" t="str">
        <f t="shared" si="6"/>
        <v>容积率</v>
      </c>
      <c r="R11" s="709" t="s">
        <v>17</v>
      </c>
      <c r="S11" s="710" t="e">
        <f t="shared" si="0"/>
        <v>#N/A</v>
      </c>
      <c r="T11" s="709" t="s">
        <v>17</v>
      </c>
      <c r="U11" s="710" t="e">
        <f t="shared" si="1"/>
        <v>#N/A</v>
      </c>
      <c r="V11" s="709" t="s">
        <v>17</v>
      </c>
      <c r="W11" s="710" t="e">
        <f t="shared" si="2"/>
        <v>#N/A</v>
      </c>
      <c r="X11" s="711"/>
      <c r="Y11" s="3536"/>
      <c r="Z11" s="55" t="str">
        <f t="shared" si="7"/>
        <v>容积率</v>
      </c>
      <c r="AA11" s="712" t="e">
        <f t="shared" si="3"/>
        <v>#N/A</v>
      </c>
      <c r="AB11" s="712" t="e">
        <f t="shared" si="4"/>
        <v>#N/A</v>
      </c>
      <c r="AC11" s="712" t="e">
        <f t="shared" si="5"/>
        <v>#N/A</v>
      </c>
    </row>
    <row r="12" spans="1:30" s="113" customFormat="1" ht="16" x14ac:dyDescent="0.2">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7"/>
      <c r="L12" s="2895"/>
      <c r="M12" s="2896"/>
      <c r="N12" s="2896"/>
      <c r="O12" s="2950"/>
      <c r="P12" s="3664"/>
      <c r="Q12" s="1477" t="str">
        <f t="shared" si="6"/>
        <v>配建</v>
      </c>
      <c r="R12" s="709" t="s">
        <v>17</v>
      </c>
      <c r="S12" s="710">
        <f t="shared" si="0"/>
        <v>100</v>
      </c>
      <c r="T12" s="709" t="s">
        <v>17</v>
      </c>
      <c r="U12" s="710">
        <f t="shared" si="1"/>
        <v>100</v>
      </c>
      <c r="V12" s="709" t="s">
        <v>17</v>
      </c>
      <c r="W12" s="710">
        <f t="shared" si="2"/>
        <v>100</v>
      </c>
      <c r="X12" s="711"/>
      <c r="Y12" s="3536"/>
      <c r="Z12" s="55" t="str">
        <f t="shared" si="7"/>
        <v>配建</v>
      </c>
      <c r="AA12" s="712">
        <f>D12/F12</f>
        <v>1</v>
      </c>
      <c r="AB12" s="712">
        <f>D12/H12</f>
        <v>1</v>
      </c>
      <c r="AC12" s="712">
        <f>D12/J12</f>
        <v>1</v>
      </c>
    </row>
    <row r="13" spans="1:30" ht="16" x14ac:dyDescent="0.2">
      <c r="A13" s="387"/>
      <c r="B13" s="2029">
        <v>111</v>
      </c>
      <c r="C13" s="393"/>
      <c r="D13" s="394">
        <v>100</v>
      </c>
      <c r="E13" s="506"/>
      <c r="F13" s="132">
        <f>SUMIF(83:83,E13,84:84)-SUMIF(83:83,C13,84:84)+100</f>
        <v>100</v>
      </c>
      <c r="G13" s="629"/>
      <c r="H13" s="394">
        <f>SUMIF(83:83,G13,84:84)-SUMIF(83:83,C13,84:84)+100</f>
        <v>100</v>
      </c>
      <c r="I13" s="629"/>
      <c r="J13" s="394">
        <f>SUMIF(83:83,I13,84:84)-SUMIF(83:83,C13,84:84)+100</f>
        <v>100</v>
      </c>
      <c r="K13" s="627"/>
      <c r="L13" s="2900"/>
      <c r="M13" s="2894"/>
      <c r="N13" s="2894"/>
      <c r="O13" s="2952"/>
      <c r="P13" s="3664"/>
      <c r="Q13" s="1477">
        <f t="shared" si="6"/>
        <v>111</v>
      </c>
      <c r="R13" s="709" t="s">
        <v>17</v>
      </c>
      <c r="S13" s="710">
        <f t="shared" si="0"/>
        <v>100</v>
      </c>
      <c r="T13" s="709" t="s">
        <v>17</v>
      </c>
      <c r="U13" s="710">
        <f t="shared" si="1"/>
        <v>100</v>
      </c>
      <c r="V13" s="709" t="s">
        <v>17</v>
      </c>
      <c r="W13" s="710">
        <f t="shared" si="2"/>
        <v>100</v>
      </c>
      <c r="X13" s="711"/>
      <c r="Y13" s="3536"/>
      <c r="Z13" s="55">
        <f t="shared" si="7"/>
        <v>111</v>
      </c>
      <c r="AA13" s="712">
        <f>D13/F13</f>
        <v>1</v>
      </c>
      <c r="AB13" s="712">
        <f>D13/H13</f>
        <v>1</v>
      </c>
      <c r="AC13" s="712">
        <f>D13/J13</f>
        <v>1</v>
      </c>
    </row>
    <row r="14" spans="1:30" ht="17" thickBot="1" x14ac:dyDescent="0.25">
      <c r="A14" s="395"/>
      <c r="B14" s="2031">
        <v>111</v>
      </c>
      <c r="C14" s="396"/>
      <c r="D14" s="397">
        <v>100</v>
      </c>
      <c r="E14" s="506"/>
      <c r="F14" s="397">
        <f>SUMIF(85:85,E14,86:86)-SUMIF(85:85,C14,86:86)+100</f>
        <v>100</v>
      </c>
      <c r="G14" s="629"/>
      <c r="H14" s="397">
        <f>SUMIF(85:85,G14,86:86)-SUMIF(85:85,C14,86:86)+100</f>
        <v>100</v>
      </c>
      <c r="I14" s="629"/>
      <c r="J14" s="397">
        <f>SUMIF(85:85,I14,86:86)-SUMIF(85:85,C14,86:86)+100</f>
        <v>100</v>
      </c>
      <c r="K14" s="627"/>
      <c r="L14" s="2900"/>
      <c r="M14" s="2894"/>
      <c r="N14" s="2894"/>
      <c r="O14" s="2952"/>
      <c r="P14" s="3664"/>
      <c r="Q14" s="1477">
        <f t="shared" si="6"/>
        <v>111</v>
      </c>
      <c r="R14" s="709" t="s">
        <v>17</v>
      </c>
      <c r="S14" s="710">
        <f t="shared" si="0"/>
        <v>100</v>
      </c>
      <c r="T14" s="709" t="s">
        <v>17</v>
      </c>
      <c r="U14" s="710">
        <f t="shared" si="1"/>
        <v>100</v>
      </c>
      <c r="V14" s="709" t="s">
        <v>17</v>
      </c>
      <c r="W14" s="710">
        <f t="shared" si="2"/>
        <v>100</v>
      </c>
      <c r="X14" s="711"/>
      <c r="Y14" s="3536"/>
      <c r="Z14" s="55">
        <f t="shared" si="7"/>
        <v>111</v>
      </c>
      <c r="AA14" s="712">
        <f>D14/F14</f>
        <v>1</v>
      </c>
      <c r="AB14" s="712">
        <f>D14/H14</f>
        <v>1</v>
      </c>
      <c r="AC14" s="712">
        <f>D14/J14</f>
        <v>1</v>
      </c>
    </row>
    <row r="15" spans="1:30" ht="98" x14ac:dyDescent="0.2">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8"/>
      <c r="L15" s="2900"/>
      <c r="M15" s="2894"/>
      <c r="N15" s="2894"/>
      <c r="O15" s="2952"/>
      <c r="P15" s="3666" t="s">
        <v>2140</v>
      </c>
      <c r="Q15" s="1486" t="str">
        <f t="shared" si="6"/>
        <v>居住社区成熟度</v>
      </c>
      <c r="R15" s="713" t="s">
        <v>17</v>
      </c>
      <c r="S15" s="714">
        <f t="shared" si="0"/>
        <v>100</v>
      </c>
      <c r="T15" s="713" t="s">
        <v>17</v>
      </c>
      <c r="U15" s="714">
        <f t="shared" si="1"/>
        <v>100</v>
      </c>
      <c r="V15" s="713" t="s">
        <v>17</v>
      </c>
      <c r="W15" s="714">
        <f t="shared" si="2"/>
        <v>100</v>
      </c>
      <c r="X15" s="1489"/>
      <c r="Y15" s="3666" t="s">
        <v>2140</v>
      </c>
      <c r="Z15" s="1490" t="str">
        <f t="shared" si="7"/>
        <v>居住社区成熟度</v>
      </c>
      <c r="AA15" s="1487">
        <f t="shared" si="3"/>
        <v>1</v>
      </c>
      <c r="AB15" s="1487">
        <f t="shared" si="4"/>
        <v>1</v>
      </c>
      <c r="AC15" s="1487">
        <f t="shared" si="5"/>
        <v>1</v>
      </c>
    </row>
    <row r="16" spans="1:30" ht="16" x14ac:dyDescent="0.2">
      <c r="A16" s="387"/>
      <c r="B16" s="405"/>
      <c r="C16" s="406"/>
      <c r="D16" s="407"/>
      <c r="E16" s="2034"/>
      <c r="F16" s="407"/>
      <c r="G16" s="2034"/>
      <c r="H16" s="409"/>
      <c r="I16" s="2033"/>
      <c r="J16" s="407"/>
      <c r="K16" s="627"/>
      <c r="L16" s="2900"/>
      <c r="M16" s="2894"/>
      <c r="N16" s="2894"/>
      <c r="O16" s="2952"/>
      <c r="P16" s="3667"/>
      <c r="Q16" s="1486"/>
      <c r="R16" s="713"/>
      <c r="S16" s="714"/>
      <c r="T16" s="713"/>
      <c r="U16" s="714"/>
      <c r="V16" s="713"/>
      <c r="W16" s="714"/>
      <c r="X16" s="1489"/>
      <c r="Y16" s="3667"/>
      <c r="Z16" s="1490"/>
      <c r="AA16" s="1487">
        <v>1</v>
      </c>
      <c r="AB16" s="1487">
        <v>1</v>
      </c>
      <c r="AC16" s="1487">
        <v>1</v>
      </c>
    </row>
    <row r="17" spans="1:29" ht="70" x14ac:dyDescent="0.2">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8"/>
      <c r="L17" s="2900"/>
      <c r="M17" s="2894"/>
      <c r="N17" s="2894"/>
      <c r="O17" s="2952"/>
      <c r="P17" s="3667"/>
      <c r="Q17" s="1486" t="str">
        <f>B17</f>
        <v>商业繁华度</v>
      </c>
      <c r="R17" s="713" t="s">
        <v>17</v>
      </c>
      <c r="S17" s="714">
        <f>F17</f>
        <v>100</v>
      </c>
      <c r="T17" s="713" t="s">
        <v>17</v>
      </c>
      <c r="U17" s="714">
        <f>H17</f>
        <v>100</v>
      </c>
      <c r="V17" s="713" t="s">
        <v>17</v>
      </c>
      <c r="W17" s="714">
        <f>J17</f>
        <v>100</v>
      </c>
      <c r="X17" s="1489"/>
      <c r="Y17" s="3667"/>
      <c r="Z17" s="1490" t="str">
        <f>Q17</f>
        <v>商业繁华度</v>
      </c>
      <c r="AA17" s="1487">
        <f t="shared" si="3"/>
        <v>1</v>
      </c>
      <c r="AB17" s="1487">
        <f t="shared" si="4"/>
        <v>1</v>
      </c>
      <c r="AC17" s="1487">
        <f t="shared" si="5"/>
        <v>1</v>
      </c>
    </row>
    <row r="18" spans="1:29" ht="16" x14ac:dyDescent="0.2">
      <c r="A18" s="387"/>
      <c r="B18" s="415"/>
      <c r="C18" s="2037"/>
      <c r="D18" s="409"/>
      <c r="E18" s="2039"/>
      <c r="F18" s="409"/>
      <c r="G18" s="2039"/>
      <c r="H18" s="407"/>
      <c r="I18" s="2038"/>
      <c r="J18" s="407"/>
      <c r="K18" s="627"/>
      <c r="L18" s="2900"/>
      <c r="M18" s="2894"/>
      <c r="N18" s="2894"/>
      <c r="O18" s="2952"/>
      <c r="P18" s="3667"/>
      <c r="Q18" s="1486"/>
      <c r="R18" s="713"/>
      <c r="S18" s="714"/>
      <c r="T18" s="713"/>
      <c r="U18" s="714"/>
      <c r="V18" s="713"/>
      <c r="W18" s="714"/>
      <c r="X18" s="1489"/>
      <c r="Y18" s="3667"/>
      <c r="Z18" s="1490"/>
      <c r="AA18" s="1487">
        <v>1</v>
      </c>
      <c r="AB18" s="1487">
        <v>1</v>
      </c>
      <c r="AC18" s="1487">
        <v>1</v>
      </c>
    </row>
    <row r="19" spans="1:29" ht="70" x14ac:dyDescent="0.2">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8"/>
      <c r="L19" s="2900"/>
      <c r="M19" s="2894"/>
      <c r="N19" s="2894"/>
      <c r="O19" s="2952"/>
      <c r="P19" s="3667"/>
      <c r="Q19" s="1486" t="str">
        <f>B19</f>
        <v>办公集聚程度</v>
      </c>
      <c r="R19" s="713" t="s">
        <v>17</v>
      </c>
      <c r="S19" s="714">
        <f>F19</f>
        <v>100</v>
      </c>
      <c r="T19" s="713" t="s">
        <v>17</v>
      </c>
      <c r="U19" s="714">
        <f>H19</f>
        <v>100</v>
      </c>
      <c r="V19" s="713" t="s">
        <v>17</v>
      </c>
      <c r="W19" s="714">
        <f>J19</f>
        <v>100</v>
      </c>
      <c r="X19" s="1489"/>
      <c r="Y19" s="3667"/>
      <c r="Z19" s="1490" t="str">
        <f>Q19</f>
        <v>办公集聚程度</v>
      </c>
      <c r="AA19" s="1487">
        <f t="shared" si="3"/>
        <v>1</v>
      </c>
      <c r="AB19" s="1487">
        <f t="shared" si="4"/>
        <v>1</v>
      </c>
      <c r="AC19" s="1487">
        <f t="shared" si="5"/>
        <v>1</v>
      </c>
    </row>
    <row r="20" spans="1:29" ht="16" x14ac:dyDescent="0.2">
      <c r="A20" s="387"/>
      <c r="B20" s="415"/>
      <c r="C20" s="406"/>
      <c r="D20" s="407"/>
      <c r="E20" s="2034"/>
      <c r="F20" s="407"/>
      <c r="G20" s="2034"/>
      <c r="H20" s="407"/>
      <c r="I20" s="2033"/>
      <c r="J20" s="407"/>
      <c r="K20" s="627"/>
      <c r="L20" s="2900"/>
      <c r="M20" s="2894"/>
      <c r="N20" s="2894"/>
      <c r="O20" s="2952"/>
      <c r="P20" s="3667"/>
      <c r="Q20" s="1486"/>
      <c r="R20" s="713"/>
      <c r="S20" s="714"/>
      <c r="T20" s="713"/>
      <c r="U20" s="714"/>
      <c r="V20" s="713"/>
      <c r="W20" s="714"/>
      <c r="X20" s="1489"/>
      <c r="Y20" s="3667"/>
      <c r="Z20" s="1490"/>
      <c r="AA20" s="1487">
        <v>1</v>
      </c>
      <c r="AB20" s="1487">
        <v>1</v>
      </c>
      <c r="AC20" s="1487">
        <v>1</v>
      </c>
    </row>
    <row r="21" spans="1:29" ht="84" x14ac:dyDescent="0.2">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8"/>
      <c r="L21" s="2900"/>
      <c r="M21" s="2894"/>
      <c r="N21" s="2894"/>
      <c r="O21" s="2952"/>
      <c r="P21" s="3667"/>
      <c r="Q21" s="1486" t="str">
        <f>B21</f>
        <v>交通便捷度</v>
      </c>
      <c r="R21" s="713" t="s">
        <v>17</v>
      </c>
      <c r="S21" s="714">
        <f>F21</f>
        <v>100</v>
      </c>
      <c r="T21" s="713" t="s">
        <v>17</v>
      </c>
      <c r="U21" s="714">
        <f>H21</f>
        <v>100</v>
      </c>
      <c r="V21" s="713" t="s">
        <v>17</v>
      </c>
      <c r="W21" s="714">
        <f>J21</f>
        <v>100</v>
      </c>
      <c r="X21" s="1489"/>
      <c r="Y21" s="3667"/>
      <c r="Z21" s="1490" t="str">
        <f>Q21</f>
        <v>交通便捷度</v>
      </c>
      <c r="AA21" s="1487">
        <f t="shared" si="3"/>
        <v>1</v>
      </c>
      <c r="AB21" s="1487">
        <f t="shared" si="4"/>
        <v>1</v>
      </c>
      <c r="AC21" s="1487">
        <f t="shared" si="5"/>
        <v>1</v>
      </c>
    </row>
    <row r="22" spans="1:29" ht="16" x14ac:dyDescent="0.2">
      <c r="A22" s="387"/>
      <c r="B22" s="1245"/>
      <c r="C22" s="406"/>
      <c r="D22" s="409"/>
      <c r="E22" s="2034"/>
      <c r="F22" s="407"/>
      <c r="G22" s="2034"/>
      <c r="H22" s="407"/>
      <c r="I22" s="2033"/>
      <c r="J22" s="407"/>
      <c r="K22" s="627"/>
      <c r="L22" s="2900"/>
      <c r="M22" s="2894"/>
      <c r="N22" s="2894"/>
      <c r="O22" s="2952"/>
      <c r="P22" s="3667"/>
      <c r="Q22" s="1486"/>
      <c r="R22" s="713"/>
      <c r="S22" s="714"/>
      <c r="T22" s="713"/>
      <c r="U22" s="714"/>
      <c r="V22" s="713"/>
      <c r="W22" s="714"/>
      <c r="X22" s="1489"/>
      <c r="Y22" s="3667"/>
      <c r="Z22" s="1490"/>
      <c r="AA22" s="1487">
        <v>1</v>
      </c>
      <c r="AB22" s="1487">
        <v>1</v>
      </c>
      <c r="AC22" s="1487">
        <v>1</v>
      </c>
    </row>
    <row r="23" spans="1:29" ht="16" x14ac:dyDescent="0.2">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8"/>
      <c r="L23" s="2900"/>
      <c r="M23" s="2894"/>
      <c r="N23" s="2894"/>
      <c r="O23" s="2952"/>
      <c r="P23" s="3667"/>
      <c r="Q23" s="1486" t="str">
        <f t="shared" ref="Q23:Q37" si="8">B23</f>
        <v>区域土地利用方向</v>
      </c>
      <c r="R23" s="713" t="s">
        <v>17</v>
      </c>
      <c r="S23" s="714">
        <f>F23</f>
        <v>100</v>
      </c>
      <c r="T23" s="713" t="s">
        <v>17</v>
      </c>
      <c r="U23" s="714">
        <f>H23</f>
        <v>100</v>
      </c>
      <c r="V23" s="713" t="s">
        <v>17</v>
      </c>
      <c r="W23" s="714">
        <f>J23</f>
        <v>100</v>
      </c>
      <c r="X23" s="1489"/>
      <c r="Y23" s="3667"/>
      <c r="Z23" s="1490" t="str">
        <f>Q23</f>
        <v>区域土地利用方向</v>
      </c>
      <c r="AA23" s="1487">
        <f t="shared" si="3"/>
        <v>1</v>
      </c>
      <c r="AB23" s="1487">
        <f t="shared" si="4"/>
        <v>1</v>
      </c>
      <c r="AC23" s="1487">
        <f t="shared" si="5"/>
        <v>1</v>
      </c>
    </row>
    <row r="24" spans="1:29" ht="16" x14ac:dyDescent="0.2">
      <c r="A24" s="364"/>
      <c r="B24" s="415"/>
      <c r="C24" s="573"/>
      <c r="D24" s="407"/>
      <c r="E24" s="2034"/>
      <c r="F24" s="407"/>
      <c r="G24" s="2033"/>
      <c r="H24" s="407"/>
      <c r="I24" s="2033"/>
      <c r="J24" s="407"/>
      <c r="K24" s="750"/>
      <c r="L24" s="2900"/>
      <c r="M24" s="2894"/>
      <c r="N24" s="2894"/>
      <c r="O24" s="2952"/>
      <c r="P24" s="3667"/>
      <c r="Q24" s="1486"/>
      <c r="R24" s="713"/>
      <c r="S24" s="714"/>
      <c r="T24" s="713"/>
      <c r="U24" s="714"/>
      <c r="V24" s="713"/>
      <c r="W24" s="714"/>
      <c r="X24" s="1489"/>
      <c r="Y24" s="3667"/>
      <c r="Z24" s="1490"/>
      <c r="AA24" s="1487"/>
      <c r="AB24" s="1487"/>
      <c r="AC24" s="1487"/>
    </row>
    <row r="25" spans="1:29" ht="56" x14ac:dyDescent="0.2">
      <c r="A25" s="364"/>
      <c r="B25" s="1245"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8"/>
      <c r="L25" s="2900"/>
      <c r="M25" s="2894"/>
      <c r="N25" s="2894"/>
      <c r="O25" s="2952"/>
      <c r="P25" s="3667"/>
      <c r="Q25" s="1486" t="str">
        <f t="shared" si="8"/>
        <v>自然及人文环境状况</v>
      </c>
      <c r="R25" s="713" t="s">
        <v>17</v>
      </c>
      <c r="S25" s="714">
        <f>F25</f>
        <v>100</v>
      </c>
      <c r="T25" s="713" t="s">
        <v>17</v>
      </c>
      <c r="U25" s="714">
        <f>H25</f>
        <v>100</v>
      </c>
      <c r="V25" s="713" t="s">
        <v>17</v>
      </c>
      <c r="W25" s="714">
        <f>J25</f>
        <v>100</v>
      </c>
      <c r="X25" s="1489"/>
      <c r="Y25" s="3667"/>
      <c r="Z25" s="1490" t="str">
        <f>Q25</f>
        <v>自然及人文环境状况</v>
      </c>
      <c r="AA25" s="1487">
        <f t="shared" si="3"/>
        <v>1</v>
      </c>
      <c r="AB25" s="1487">
        <f t="shared" si="4"/>
        <v>1</v>
      </c>
      <c r="AC25" s="1487">
        <f t="shared" si="5"/>
        <v>1</v>
      </c>
    </row>
    <row r="26" spans="1:29" ht="16" x14ac:dyDescent="0.2">
      <c r="A26" s="364"/>
      <c r="B26" s="415"/>
      <c r="C26" s="406"/>
      <c r="D26" s="407"/>
      <c r="E26" s="2040"/>
      <c r="F26" s="407"/>
      <c r="G26" s="2040"/>
      <c r="H26" s="407"/>
      <c r="I26" s="406"/>
      <c r="J26" s="407"/>
      <c r="K26" s="627"/>
      <c r="L26" s="2900"/>
      <c r="M26" s="2894"/>
      <c r="N26" s="2894"/>
      <c r="O26" s="2952"/>
      <c r="P26" s="3667"/>
      <c r="Q26" s="1486"/>
      <c r="R26" s="713"/>
      <c r="S26" s="714"/>
      <c r="T26" s="713"/>
      <c r="U26" s="714"/>
      <c r="V26" s="713"/>
      <c r="W26" s="714"/>
      <c r="X26" s="1489"/>
      <c r="Y26" s="3667"/>
      <c r="Z26" s="1490"/>
      <c r="AA26" s="1487">
        <v>1</v>
      </c>
      <c r="AB26" s="1487">
        <v>1</v>
      </c>
      <c r="AC26" s="1487">
        <v>1</v>
      </c>
    </row>
    <row r="27" spans="1:29" s="113" customFormat="1" ht="42" x14ac:dyDescent="0.2">
      <c r="A27" s="604"/>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8"/>
      <c r="L27" s="2895"/>
      <c r="M27" s="2896"/>
      <c r="N27" s="2896"/>
      <c r="O27" s="2950"/>
      <c r="P27" s="3667"/>
      <c r="Q27" s="1477" t="str">
        <f t="shared" si="8"/>
        <v>公共配套设施</v>
      </c>
      <c r="R27" s="709" t="s">
        <v>17</v>
      </c>
      <c r="S27" s="710">
        <f>F27</f>
        <v>100</v>
      </c>
      <c r="T27" s="709" t="s">
        <v>17</v>
      </c>
      <c r="U27" s="710">
        <f>H27</f>
        <v>100</v>
      </c>
      <c r="V27" s="709" t="s">
        <v>17</v>
      </c>
      <c r="W27" s="710">
        <f>J27</f>
        <v>100</v>
      </c>
      <c r="X27" s="711"/>
      <c r="Y27" s="3667"/>
      <c r="Z27" s="55" t="str">
        <f>Q27</f>
        <v>公共配套设施</v>
      </c>
      <c r="AA27" s="1487">
        <f>D27/F27</f>
        <v>1</v>
      </c>
      <c r="AB27" s="1487">
        <f>D27/H27</f>
        <v>1</v>
      </c>
      <c r="AC27" s="1487">
        <f>D27/J27</f>
        <v>1</v>
      </c>
    </row>
    <row r="28" spans="1:29" s="113" customFormat="1" ht="16" x14ac:dyDescent="0.2">
      <c r="A28" s="604"/>
      <c r="B28" s="415"/>
      <c r="C28" s="2114"/>
      <c r="D28" s="407"/>
      <c r="E28" s="2040"/>
      <c r="F28" s="407"/>
      <c r="G28" s="2040"/>
      <c r="H28" s="407"/>
      <c r="I28" s="406"/>
      <c r="J28" s="407"/>
      <c r="K28" s="627"/>
      <c r="L28" s="2895"/>
      <c r="M28" s="2896"/>
      <c r="N28" s="2896"/>
      <c r="O28" s="2950"/>
      <c r="P28" s="3667"/>
      <c r="Q28" s="1477"/>
      <c r="R28" s="709"/>
      <c r="S28" s="710"/>
      <c r="T28" s="709"/>
      <c r="U28" s="710"/>
      <c r="V28" s="709"/>
      <c r="W28" s="710"/>
      <c r="X28" s="711"/>
      <c r="Y28" s="3667"/>
      <c r="Z28" s="55"/>
      <c r="AA28" s="1487">
        <v>1</v>
      </c>
      <c r="AB28" s="1487">
        <v>1</v>
      </c>
      <c r="AC28" s="1487">
        <v>1</v>
      </c>
    </row>
    <row r="29" spans="1:29" s="113" customFormat="1" ht="28" x14ac:dyDescent="0.2">
      <c r="A29" s="604"/>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8"/>
      <c r="L29" s="2895"/>
      <c r="M29" s="2896"/>
      <c r="N29" s="2896"/>
      <c r="O29" s="2950"/>
      <c r="P29" s="3667"/>
      <c r="Q29" s="1477" t="str">
        <f t="shared" ref="Q29" si="9">B29</f>
        <v>基础设施水平</v>
      </c>
      <c r="R29" s="709" t="s">
        <v>17</v>
      </c>
      <c r="S29" s="710">
        <f>F29</f>
        <v>100</v>
      </c>
      <c r="T29" s="709" t="s">
        <v>17</v>
      </c>
      <c r="U29" s="710">
        <f>H29</f>
        <v>100</v>
      </c>
      <c r="V29" s="709" t="s">
        <v>17</v>
      </c>
      <c r="W29" s="710">
        <f>J29</f>
        <v>100</v>
      </c>
      <c r="X29" s="711"/>
      <c r="Y29" s="3667"/>
      <c r="Z29" s="55" t="str">
        <f>Q29</f>
        <v>基础设施水平</v>
      </c>
      <c r="AA29" s="1487">
        <f>D29/F29</f>
        <v>1</v>
      </c>
      <c r="AB29" s="1487">
        <f>D29/H29</f>
        <v>1</v>
      </c>
      <c r="AC29" s="1487">
        <f>D29/J29</f>
        <v>1</v>
      </c>
    </row>
    <row r="30" spans="1:29" s="113" customFormat="1" ht="16" x14ac:dyDescent="0.2">
      <c r="A30" s="604"/>
      <c r="B30" s="415"/>
      <c r="C30" s="2114"/>
      <c r="D30" s="407"/>
      <c r="E30" s="2115"/>
      <c r="F30" s="407"/>
      <c r="G30" s="2115"/>
      <c r="H30" s="407"/>
      <c r="I30" s="2115"/>
      <c r="J30" s="407"/>
      <c r="K30" s="627"/>
      <c r="L30" s="2895"/>
      <c r="M30" s="2896"/>
      <c r="N30" s="2896"/>
      <c r="O30" s="2950"/>
      <c r="P30" s="3667"/>
      <c r="Q30" s="1477"/>
      <c r="R30" s="709"/>
      <c r="S30" s="710"/>
      <c r="T30" s="709"/>
      <c r="U30" s="710"/>
      <c r="V30" s="709"/>
      <c r="W30" s="710"/>
      <c r="X30" s="711"/>
      <c r="Y30" s="3667"/>
      <c r="Z30" s="55"/>
      <c r="AA30" s="1487">
        <v>1</v>
      </c>
      <c r="AB30" s="1487">
        <v>1</v>
      </c>
      <c r="AC30" s="1487">
        <v>1</v>
      </c>
    </row>
    <row r="31" spans="1:29" ht="16" x14ac:dyDescent="0.2">
      <c r="A31" s="387"/>
      <c r="B31" s="415" t="s">
        <v>2236</v>
      </c>
      <c r="C31" s="573"/>
      <c r="D31" s="394">
        <v>100</v>
      </c>
      <c r="E31" s="589"/>
      <c r="F31" s="394">
        <f>SUMIF(103:103,E31,104:104)-SUMIF(103:103,C31,104:104)+100</f>
        <v>100</v>
      </c>
      <c r="G31" s="589"/>
      <c r="H31" s="394">
        <f>SUMIF(103:103,G31,104:104)-SUMIF(103:103,C31,104:104)+100</f>
        <v>100</v>
      </c>
      <c r="I31" s="589"/>
      <c r="J31" s="394">
        <f>SUMIF(103:103,I31,104:104)-SUMIF(103:103,C31,104:104)+100</f>
        <v>100</v>
      </c>
      <c r="K31" s="628"/>
      <c r="L31" s="2900"/>
      <c r="M31" s="2894"/>
      <c r="N31" s="2894"/>
      <c r="O31" s="2952"/>
      <c r="P31" s="3667"/>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667"/>
      <c r="Z31" s="1490" t="str">
        <f t="shared" ref="Z31:Z45" si="13">Q31</f>
        <v>临街状况</v>
      </c>
      <c r="AA31" s="1487">
        <f t="shared" si="3"/>
        <v>1</v>
      </c>
      <c r="AB31" s="1487">
        <f t="shared" si="4"/>
        <v>1</v>
      </c>
      <c r="AC31" s="1487">
        <f t="shared" si="5"/>
        <v>1</v>
      </c>
    </row>
    <row r="32" spans="1:29" ht="28" x14ac:dyDescent="0.2">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8"/>
      <c r="L32" s="2900"/>
      <c r="M32" s="2894"/>
      <c r="N32" s="2894"/>
      <c r="O32" s="2952"/>
      <c r="P32" s="3667"/>
      <c r="Q32" s="1486" t="str">
        <f t="shared" si="8"/>
        <v>毗邻道路的类型与等级</v>
      </c>
      <c r="R32" s="713" t="s">
        <v>17</v>
      </c>
      <c r="S32" s="714">
        <f t="shared" si="10"/>
        <v>100</v>
      </c>
      <c r="T32" s="713" t="s">
        <v>17</v>
      </c>
      <c r="U32" s="714">
        <f t="shared" si="11"/>
        <v>100</v>
      </c>
      <c r="V32" s="713" t="s">
        <v>17</v>
      </c>
      <c r="W32" s="714">
        <f t="shared" si="12"/>
        <v>100</v>
      </c>
      <c r="X32" s="1489"/>
      <c r="Y32" s="3667"/>
      <c r="Z32" s="1490" t="str">
        <f t="shared" si="13"/>
        <v>毗邻道路的类型与等级</v>
      </c>
      <c r="AA32" s="1487">
        <f t="shared" si="3"/>
        <v>1</v>
      </c>
      <c r="AB32" s="1487">
        <f t="shared" si="4"/>
        <v>1</v>
      </c>
      <c r="AC32" s="1487">
        <f t="shared" si="5"/>
        <v>1</v>
      </c>
    </row>
    <row r="33" spans="1:29" ht="16" x14ac:dyDescent="0.2">
      <c r="A33" s="387"/>
      <c r="B33" s="415"/>
      <c r="C33" s="406"/>
      <c r="D33" s="407"/>
      <c r="E33" s="2040"/>
      <c r="F33" s="407"/>
      <c r="G33" s="2040"/>
      <c r="H33" s="407"/>
      <c r="I33" s="406"/>
      <c r="J33" s="407"/>
      <c r="K33" s="570"/>
      <c r="L33" s="2900"/>
      <c r="M33" s="2894"/>
      <c r="N33" s="2894"/>
      <c r="O33" s="2952"/>
      <c r="P33" s="3667"/>
      <c r="Q33" s="1486"/>
      <c r="R33" s="713"/>
      <c r="S33" s="714"/>
      <c r="T33" s="713"/>
      <c r="U33" s="714"/>
      <c r="V33" s="713"/>
      <c r="W33" s="714"/>
      <c r="X33" s="1489"/>
      <c r="Y33" s="3667"/>
      <c r="Z33" s="1490"/>
      <c r="AA33" s="1487">
        <v>1</v>
      </c>
      <c r="AB33" s="1487">
        <v>1</v>
      </c>
      <c r="AC33" s="1487">
        <v>1</v>
      </c>
    </row>
    <row r="34" spans="1:29" ht="16" x14ac:dyDescent="0.2">
      <c r="A34" s="387"/>
      <c r="B34" s="381" t="s">
        <v>2330</v>
      </c>
      <c r="C34" s="573"/>
      <c r="D34" s="394">
        <v>100</v>
      </c>
      <c r="E34" s="589"/>
      <c r="F34" s="394">
        <f>SUMIF(107:107,E34,108:108)-SUMIF(107:107,C34,108:108)+100</f>
        <v>100</v>
      </c>
      <c r="G34" s="589"/>
      <c r="H34" s="394">
        <f>SUMIF(107:107,G34,108:108)-SUMIF(107:107,C34,108:108)+100</f>
        <v>100</v>
      </c>
      <c r="I34" s="573"/>
      <c r="J34" s="394">
        <f>SUMIF(107:107,I34,108:108)-SUMIF(107:107,C34,108:108)+100</f>
        <v>100</v>
      </c>
      <c r="K34" s="569"/>
      <c r="L34" s="2900"/>
      <c r="M34" s="2894"/>
      <c r="N34" s="2894"/>
      <c r="O34" s="2952"/>
      <c r="P34" s="3667"/>
      <c r="Q34" s="1486" t="str">
        <f t="shared" si="8"/>
        <v>土地级别</v>
      </c>
      <c r="R34" s="713" t="s">
        <v>17</v>
      </c>
      <c r="S34" s="714">
        <f t="shared" si="10"/>
        <v>100</v>
      </c>
      <c r="T34" s="713" t="s">
        <v>17</v>
      </c>
      <c r="U34" s="714">
        <f t="shared" si="11"/>
        <v>100</v>
      </c>
      <c r="V34" s="713" t="s">
        <v>17</v>
      </c>
      <c r="W34" s="714">
        <f t="shared" si="12"/>
        <v>100</v>
      </c>
      <c r="X34" s="1489"/>
      <c r="Y34" s="3667"/>
      <c r="Z34" s="1490" t="str">
        <f t="shared" si="13"/>
        <v>土地级别</v>
      </c>
      <c r="AA34" s="1487">
        <f t="shared" si="3"/>
        <v>1</v>
      </c>
      <c r="AB34" s="1487">
        <f t="shared" si="4"/>
        <v>1</v>
      </c>
      <c r="AC34" s="1487">
        <f t="shared" si="5"/>
        <v>1</v>
      </c>
    </row>
    <row r="35" spans="1:29" ht="16" x14ac:dyDescent="0.2">
      <c r="A35" s="364"/>
      <c r="B35" s="1247">
        <v>111</v>
      </c>
      <c r="C35" s="629"/>
      <c r="D35" s="394">
        <v>100</v>
      </c>
      <c r="E35" s="436"/>
      <c r="F35" s="394">
        <f>SUMIF(109:109,E35,110:110)-SUMIF(109:109,C35,110:110)+100</f>
        <v>100</v>
      </c>
      <c r="G35" s="436"/>
      <c r="H35" s="394">
        <f>SUMIF(109:109,G35,110:110)-SUMIF(109:109,C35,110:110)+100</f>
        <v>100</v>
      </c>
      <c r="I35" s="629"/>
      <c r="J35" s="394">
        <f>SUMIF(109:109,I35,110:110)-SUMIF(109:109,C35,110:110)+100</f>
        <v>100</v>
      </c>
      <c r="K35" s="570"/>
      <c r="L35" s="2900"/>
      <c r="M35" s="2894"/>
      <c r="N35" s="2894"/>
      <c r="O35" s="2952"/>
      <c r="P35" s="3667"/>
      <c r="Q35" s="1486">
        <f t="shared" si="8"/>
        <v>111</v>
      </c>
      <c r="R35" s="713" t="s">
        <v>17</v>
      </c>
      <c r="S35" s="714">
        <f t="shared" si="10"/>
        <v>100</v>
      </c>
      <c r="T35" s="713" t="s">
        <v>17</v>
      </c>
      <c r="U35" s="714">
        <f t="shared" si="11"/>
        <v>100</v>
      </c>
      <c r="V35" s="713" t="s">
        <v>17</v>
      </c>
      <c r="W35" s="714">
        <f t="shared" si="12"/>
        <v>100</v>
      </c>
      <c r="X35" s="1489"/>
      <c r="Y35" s="3667"/>
      <c r="Z35" s="1490">
        <f t="shared" si="13"/>
        <v>111</v>
      </c>
      <c r="AA35" s="1487">
        <f t="shared" si="3"/>
        <v>1</v>
      </c>
      <c r="AB35" s="1487">
        <f t="shared" si="4"/>
        <v>1</v>
      </c>
      <c r="AC35" s="1487">
        <f t="shared" si="5"/>
        <v>1</v>
      </c>
    </row>
    <row r="36" spans="1:29" ht="16" x14ac:dyDescent="0.2">
      <c r="A36" s="630"/>
      <c r="B36" s="1248">
        <v>111</v>
      </c>
      <c r="C36" s="629"/>
      <c r="D36" s="394">
        <v>100</v>
      </c>
      <c r="E36" s="436"/>
      <c r="F36" s="394">
        <f>SUMIF(111:111,E37,112:112)-SUMIF(111:111,C37,112:112)+100</f>
        <v>100</v>
      </c>
      <c r="G36" s="436"/>
      <c r="H36" s="394">
        <f>SUMIF(111:111,G36,112:112)-SUMIF(111:111,C36,112:112)+100</f>
        <v>100</v>
      </c>
      <c r="I36" s="629"/>
      <c r="J36" s="394">
        <f>SUMIF(111:111,I36,112:112)-SUMIF(111:111,C36,112:112)+100</f>
        <v>100</v>
      </c>
      <c r="K36" s="570"/>
      <c r="L36" s="2900"/>
      <c r="M36" s="2894"/>
      <c r="N36" s="2894"/>
      <c r="O36" s="2952"/>
      <c r="P36" s="3722" t="s">
        <v>2145</v>
      </c>
      <c r="Q36" s="1486">
        <f t="shared" si="8"/>
        <v>111</v>
      </c>
      <c r="R36" s="713" t="s">
        <v>17</v>
      </c>
      <c r="S36" s="714">
        <f t="shared" si="10"/>
        <v>100</v>
      </c>
      <c r="T36" s="713" t="s">
        <v>17</v>
      </c>
      <c r="U36" s="714">
        <f t="shared" si="11"/>
        <v>100</v>
      </c>
      <c r="V36" s="713" t="s">
        <v>17</v>
      </c>
      <c r="W36" s="714">
        <f t="shared" si="12"/>
        <v>100</v>
      </c>
      <c r="X36" s="1489"/>
      <c r="Y36" s="3671" t="s">
        <v>2145</v>
      </c>
      <c r="Z36" s="1490">
        <f t="shared" si="13"/>
        <v>111</v>
      </c>
      <c r="AA36" s="1487">
        <f t="shared" si="3"/>
        <v>1</v>
      </c>
      <c r="AB36" s="1487">
        <f t="shared" si="4"/>
        <v>1</v>
      </c>
      <c r="AC36" s="1487">
        <f t="shared" si="5"/>
        <v>1</v>
      </c>
    </row>
    <row r="37" spans="1:29" s="430" customFormat="1" ht="17" thickBot="1" x14ac:dyDescent="0.25">
      <c r="A37" s="631"/>
      <c r="B37" s="1249">
        <v>111</v>
      </c>
      <c r="C37" s="633"/>
      <c r="D37" s="133">
        <v>100</v>
      </c>
      <c r="E37" s="656"/>
      <c r="F37" s="397">
        <f>SUMIF(113:113,E37,114:114)-SUMIF(113:113,C37,114:114)+100</f>
        <v>100</v>
      </c>
      <c r="G37" s="656"/>
      <c r="H37" s="397">
        <f>SUMIF(113:113,G37,114:114)-SUMIF(113:113,C37,114:114)+100</f>
        <v>100</v>
      </c>
      <c r="I37" s="633"/>
      <c r="J37" s="397">
        <f>SUMIF(113:113,I37,114:114)-SUMIF(113:113,C37,114:114)+100</f>
        <v>100</v>
      </c>
      <c r="K37" s="570"/>
      <c r="L37" s="2899"/>
      <c r="M37" s="2901"/>
      <c r="N37" s="2901"/>
      <c r="O37" s="2953"/>
      <c r="P37" s="3671"/>
      <c r="Q37" s="1486">
        <f t="shared" si="8"/>
        <v>111</v>
      </c>
      <c r="R37" s="716" t="s">
        <v>17</v>
      </c>
      <c r="S37" s="717">
        <f t="shared" si="10"/>
        <v>100</v>
      </c>
      <c r="T37" s="716" t="s">
        <v>17</v>
      </c>
      <c r="U37" s="717">
        <f t="shared" si="11"/>
        <v>100</v>
      </c>
      <c r="V37" s="716" t="s">
        <v>17</v>
      </c>
      <c r="W37" s="717">
        <f t="shared" si="12"/>
        <v>100</v>
      </c>
      <c r="X37" s="718"/>
      <c r="Y37" s="3671"/>
      <c r="Z37" s="719">
        <f t="shared" si="13"/>
        <v>111</v>
      </c>
      <c r="AA37" s="1487">
        <f t="shared" si="3"/>
        <v>1</v>
      </c>
      <c r="AB37" s="1487">
        <f t="shared" si="4"/>
        <v>1</v>
      </c>
      <c r="AC37" s="1487">
        <f t="shared" si="5"/>
        <v>1</v>
      </c>
    </row>
    <row r="38" spans="1:29" ht="16" x14ac:dyDescent="0.2">
      <c r="A38" s="431" t="s">
        <v>2143</v>
      </c>
      <c r="B38" s="415" t="s">
        <v>2331</v>
      </c>
      <c r="C38" s="634"/>
      <c r="D38" s="426">
        <v>100</v>
      </c>
      <c r="E38" s="634"/>
      <c r="F38" s="426" t="e">
        <f>LOOKUP(E38,116:116,117:117)-LOOKUP(C38,116:116,117:117)+100</f>
        <v>#N/A</v>
      </c>
      <c r="G38" s="634"/>
      <c r="H38" s="426" t="e">
        <f>LOOKUP(G38,116:116,117:117)-LOOKUP(C38,116:116,117:117)+100</f>
        <v>#N/A</v>
      </c>
      <c r="I38" s="487"/>
      <c r="J38" s="426" t="e">
        <f>LOOKUP(I38,116:116,117:117)-LOOKUP(C38,116:116,117:117)+100</f>
        <v>#N/A</v>
      </c>
      <c r="K38" s="570"/>
      <c r="L38" s="2900"/>
      <c r="M38" s="2894"/>
      <c r="N38" s="2894"/>
      <c r="O38" s="2952"/>
      <c r="P38" s="3671"/>
      <c r="Q38" s="1486" t="str">
        <f>B38</f>
        <v>宗地面积</v>
      </c>
      <c r="R38" s="713" t="s">
        <v>17</v>
      </c>
      <c r="S38" s="714" t="e">
        <f t="shared" si="10"/>
        <v>#N/A</v>
      </c>
      <c r="T38" s="713" t="s">
        <v>17</v>
      </c>
      <c r="U38" s="714" t="e">
        <f t="shared" si="11"/>
        <v>#N/A</v>
      </c>
      <c r="V38" s="713" t="s">
        <v>17</v>
      </c>
      <c r="W38" s="714" t="e">
        <f t="shared" si="12"/>
        <v>#N/A</v>
      </c>
      <c r="X38" s="1489"/>
      <c r="Y38" s="3671"/>
      <c r="Z38" s="1490" t="str">
        <f t="shared" si="13"/>
        <v>宗地面积</v>
      </c>
      <c r="AA38" s="1487" t="e">
        <f t="shared" si="3"/>
        <v>#N/A</v>
      </c>
      <c r="AB38" s="1487" t="e">
        <f t="shared" si="4"/>
        <v>#N/A</v>
      </c>
      <c r="AC38" s="1487" t="e">
        <f t="shared" si="5"/>
        <v>#N/A</v>
      </c>
    </row>
    <row r="39" spans="1:29" ht="16" x14ac:dyDescent="0.2">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671"/>
      <c r="Q39" s="1486" t="str">
        <f t="shared" ref="Q39:Q45" si="14">B39</f>
        <v>宗地形状</v>
      </c>
      <c r="R39" s="713" t="s">
        <v>17</v>
      </c>
      <c r="S39" s="714">
        <f t="shared" si="10"/>
        <v>100</v>
      </c>
      <c r="T39" s="713" t="s">
        <v>17</v>
      </c>
      <c r="U39" s="714">
        <f t="shared" si="11"/>
        <v>100</v>
      </c>
      <c r="V39" s="713" t="s">
        <v>17</v>
      </c>
      <c r="W39" s="714">
        <f t="shared" si="12"/>
        <v>100</v>
      </c>
      <c r="X39" s="1489"/>
      <c r="Y39" s="3671"/>
      <c r="Z39" s="1490" t="str">
        <f t="shared" si="13"/>
        <v>宗地形状</v>
      </c>
      <c r="AA39" s="1487">
        <f t="shared" si="3"/>
        <v>1</v>
      </c>
      <c r="AB39" s="1487">
        <f t="shared" si="4"/>
        <v>1</v>
      </c>
      <c r="AC39" s="1487">
        <f t="shared" si="5"/>
        <v>1</v>
      </c>
    </row>
    <row r="40" spans="1:29" ht="16" x14ac:dyDescent="0.2">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671"/>
      <c r="Q40" s="1486" t="str">
        <f t="shared" si="14"/>
        <v>临街宽度及深度</v>
      </c>
      <c r="R40" s="713" t="s">
        <v>17</v>
      </c>
      <c r="S40" s="714">
        <f t="shared" si="10"/>
        <v>100</v>
      </c>
      <c r="T40" s="713" t="s">
        <v>17</v>
      </c>
      <c r="U40" s="714">
        <f t="shared" si="11"/>
        <v>100</v>
      </c>
      <c r="V40" s="713" t="s">
        <v>17</v>
      </c>
      <c r="W40" s="714">
        <f t="shared" si="12"/>
        <v>100</v>
      </c>
      <c r="X40" s="1489"/>
      <c r="Y40" s="3671"/>
      <c r="Z40" s="1490" t="str">
        <f t="shared" si="13"/>
        <v>临街宽度及深度</v>
      </c>
      <c r="AA40" s="1487">
        <f t="shared" si="3"/>
        <v>1</v>
      </c>
      <c r="AB40" s="1487">
        <f t="shared" si="4"/>
        <v>1</v>
      </c>
      <c r="AC40" s="1487">
        <f t="shared" si="5"/>
        <v>1</v>
      </c>
    </row>
    <row r="41" spans="1:29" s="113" customFormat="1" ht="16" x14ac:dyDescent="0.2">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671"/>
      <c r="Q41" s="1486" t="str">
        <f t="shared" si="14"/>
        <v>宗地开发程度</v>
      </c>
      <c r="R41" s="709" t="s">
        <v>17</v>
      </c>
      <c r="S41" s="710">
        <f t="shared" si="10"/>
        <v>100</v>
      </c>
      <c r="T41" s="709" t="s">
        <v>17</v>
      </c>
      <c r="U41" s="710">
        <f t="shared" si="11"/>
        <v>100</v>
      </c>
      <c r="V41" s="709" t="s">
        <v>17</v>
      </c>
      <c r="W41" s="710">
        <f t="shared" si="12"/>
        <v>100</v>
      </c>
      <c r="X41" s="711"/>
      <c r="Y41" s="3671"/>
      <c r="Z41" s="55" t="str">
        <f t="shared" si="13"/>
        <v>宗地开发程度</v>
      </c>
      <c r="AA41" s="712">
        <f t="shared" si="3"/>
        <v>1</v>
      </c>
      <c r="AB41" s="712">
        <f t="shared" si="4"/>
        <v>1</v>
      </c>
      <c r="AC41" s="712">
        <f t="shared" si="5"/>
        <v>1</v>
      </c>
    </row>
    <row r="42" spans="1:29" ht="16" x14ac:dyDescent="0.2">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671" t="s">
        <v>2145</v>
      </c>
      <c r="Q42" s="1486" t="str">
        <f t="shared" si="14"/>
        <v>工程地质条件</v>
      </c>
      <c r="R42" s="713" t="s">
        <v>17</v>
      </c>
      <c r="S42" s="714">
        <f t="shared" si="10"/>
        <v>100</v>
      </c>
      <c r="T42" s="713" t="s">
        <v>17</v>
      </c>
      <c r="U42" s="714">
        <f t="shared" si="11"/>
        <v>100</v>
      </c>
      <c r="V42" s="713" t="s">
        <v>17</v>
      </c>
      <c r="W42" s="714">
        <f t="shared" si="12"/>
        <v>100</v>
      </c>
      <c r="X42" s="1489"/>
      <c r="Y42" s="3671" t="s">
        <v>2145</v>
      </c>
      <c r="Z42" s="1490" t="str">
        <f t="shared" si="13"/>
        <v>工程地质条件</v>
      </c>
      <c r="AA42" s="1487">
        <f t="shared" si="3"/>
        <v>1</v>
      </c>
      <c r="AB42" s="1487">
        <f t="shared" si="4"/>
        <v>1</v>
      </c>
      <c r="AC42" s="1487">
        <f t="shared" si="5"/>
        <v>1</v>
      </c>
    </row>
    <row r="43" spans="1:29" ht="16" x14ac:dyDescent="0.2">
      <c r="A43" s="431"/>
      <c r="B43" s="1248">
        <v>111</v>
      </c>
      <c r="C43" s="629"/>
      <c r="D43" s="394">
        <v>100</v>
      </c>
      <c r="E43" s="629"/>
      <c r="F43" s="394">
        <f>SUMIF(126:126,E43,127:127)-SUMIF(126:126,C43,127:127)+100</f>
        <v>100</v>
      </c>
      <c r="G43" s="629"/>
      <c r="H43" s="394">
        <f>SUMIF(126:126,G43,127:127)-SUMIF(126:126,C43,127:127)+100</f>
        <v>100</v>
      </c>
      <c r="I43" s="506"/>
      <c r="J43" s="394">
        <f>SUMIF(126:126,I43,127:127)-SUMIF(126:126,C43,127:127)+100</f>
        <v>100</v>
      </c>
      <c r="K43" s="570"/>
      <c r="L43" s="2900"/>
      <c r="M43" s="2894"/>
      <c r="N43" s="2894"/>
      <c r="O43" s="2952"/>
      <c r="P43" s="3671"/>
      <c r="Q43" s="1486">
        <f t="shared" si="14"/>
        <v>111</v>
      </c>
      <c r="R43" s="713" t="s">
        <v>17</v>
      </c>
      <c r="S43" s="714">
        <f t="shared" si="10"/>
        <v>100</v>
      </c>
      <c r="T43" s="713" t="s">
        <v>17</v>
      </c>
      <c r="U43" s="714">
        <f t="shared" si="11"/>
        <v>100</v>
      </c>
      <c r="V43" s="713" t="s">
        <v>17</v>
      </c>
      <c r="W43" s="714">
        <f t="shared" si="12"/>
        <v>100</v>
      </c>
      <c r="X43" s="1489"/>
      <c r="Y43" s="3671"/>
      <c r="Z43" s="1490">
        <f t="shared" si="13"/>
        <v>111</v>
      </c>
      <c r="AA43" s="1487">
        <f t="shared" si="3"/>
        <v>1</v>
      </c>
      <c r="AB43" s="1487">
        <f t="shared" si="4"/>
        <v>1</v>
      </c>
      <c r="AC43" s="1487">
        <f t="shared" si="5"/>
        <v>1</v>
      </c>
    </row>
    <row r="44" spans="1:29" ht="16" x14ac:dyDescent="0.2">
      <c r="A44" s="431"/>
      <c r="B44" s="1248">
        <v>111</v>
      </c>
      <c r="C44" s="629"/>
      <c r="D44" s="394">
        <v>100</v>
      </c>
      <c r="E44" s="629"/>
      <c r="F44" s="394">
        <f>SUMIF(128:128,E44,129:129)-SUMIF(128:128,C44,129:129)+100</f>
        <v>100</v>
      </c>
      <c r="G44" s="629"/>
      <c r="H44" s="394">
        <f>SUMIF(128:128,G44,129:129)-SUMIF(128:128,C44,129:129)+100</f>
        <v>100</v>
      </c>
      <c r="I44" s="506"/>
      <c r="J44" s="394">
        <f>SUMIF(128:128,I44,129:129)-SUMIF(128:128,C44,129:129)+100</f>
        <v>100</v>
      </c>
      <c r="K44" s="570"/>
      <c r="L44" s="2900"/>
      <c r="M44" s="2894"/>
      <c r="N44" s="2894"/>
      <c r="O44" s="2952"/>
      <c r="P44" s="3671"/>
      <c r="Q44" s="1486">
        <f t="shared" si="14"/>
        <v>111</v>
      </c>
      <c r="R44" s="713" t="s">
        <v>17</v>
      </c>
      <c r="S44" s="714">
        <f t="shared" si="10"/>
        <v>100</v>
      </c>
      <c r="T44" s="713" t="s">
        <v>17</v>
      </c>
      <c r="U44" s="714">
        <f t="shared" si="11"/>
        <v>100</v>
      </c>
      <c r="V44" s="713" t="s">
        <v>17</v>
      </c>
      <c r="W44" s="714">
        <f t="shared" si="12"/>
        <v>100</v>
      </c>
      <c r="X44" s="1489"/>
      <c r="Y44" s="3671"/>
      <c r="Z44" s="1490">
        <f t="shared" si="13"/>
        <v>111</v>
      </c>
      <c r="AA44" s="1487">
        <f t="shared" si="3"/>
        <v>1</v>
      </c>
      <c r="AB44" s="1487">
        <f t="shared" si="4"/>
        <v>1</v>
      </c>
      <c r="AC44" s="1487">
        <f t="shared" si="5"/>
        <v>1</v>
      </c>
    </row>
    <row r="45" spans="1:29" s="430" customFormat="1" ht="17" thickBot="1" x14ac:dyDescent="0.25">
      <c r="A45" s="427"/>
      <c r="B45" s="1248">
        <v>111</v>
      </c>
      <c r="C45" s="2117"/>
      <c r="D45" s="635">
        <v>100</v>
      </c>
      <c r="E45" s="629"/>
      <c r="F45" s="397">
        <f>SUMIF(130:130,E45,131:131)-SUMIF(130:130,C45,131:131)+100</f>
        <v>100</v>
      </c>
      <c r="G45" s="629"/>
      <c r="H45" s="397">
        <f>SUMIF(130:130,G45,131:131)-SUMIF(130:130,C45,131:131)+100</f>
        <v>100</v>
      </c>
      <c r="I45" s="629"/>
      <c r="J45" s="397">
        <f>SUMIF(130:130,I45,131:131)-SUMIF(130:130,C45,131:131)+100</f>
        <v>100</v>
      </c>
      <c r="K45" s="636"/>
      <c r="L45" s="2899"/>
      <c r="M45" s="2901"/>
      <c r="N45" s="2901"/>
      <c r="O45" s="2953"/>
      <c r="P45" s="3671"/>
      <c r="Q45" s="1486">
        <f t="shared" si="14"/>
        <v>111</v>
      </c>
      <c r="R45" s="716" t="s">
        <v>17</v>
      </c>
      <c r="S45" s="717">
        <f t="shared" si="10"/>
        <v>100</v>
      </c>
      <c r="T45" s="716" t="s">
        <v>17</v>
      </c>
      <c r="U45" s="717">
        <f t="shared" si="11"/>
        <v>100</v>
      </c>
      <c r="V45" s="716" t="s">
        <v>17</v>
      </c>
      <c r="W45" s="717">
        <f t="shared" si="12"/>
        <v>100</v>
      </c>
      <c r="X45" s="718"/>
      <c r="Y45" s="3671"/>
      <c r="Z45" s="719">
        <f t="shared" si="13"/>
        <v>111</v>
      </c>
      <c r="AA45" s="1487">
        <f t="shared" si="3"/>
        <v>1</v>
      </c>
      <c r="AB45" s="1487">
        <f t="shared" si="4"/>
        <v>1</v>
      </c>
      <c r="AC45" s="1487">
        <f t="shared" si="5"/>
        <v>1</v>
      </c>
    </row>
    <row r="46" spans="1:29" x14ac:dyDescent="0.2">
      <c r="A46" s="438" t="s">
        <v>2300</v>
      </c>
      <c r="B46" s="2118" t="s">
        <v>2336</v>
      </c>
      <c r="C46" s="637" t="s">
        <v>1</v>
      </c>
      <c r="D46" s="440"/>
      <c r="E46" s="441"/>
      <c r="F46" s="442"/>
      <c r="G46" s="443"/>
      <c r="H46" s="444"/>
      <c r="I46" s="441"/>
      <c r="J46" s="444"/>
      <c r="K46" s="722"/>
      <c r="L46" s="2902"/>
      <c r="M46" s="2903"/>
      <c r="N46" s="2894"/>
      <c r="O46" s="2903"/>
      <c r="P46" s="3664" t="str">
        <f>A46</f>
        <v>成交单价</v>
      </c>
      <c r="Q46" s="3664"/>
      <c r="R46" s="3695">
        <f>E46</f>
        <v>0</v>
      </c>
      <c r="S46" s="3695"/>
      <c r="T46" s="3695">
        <f>G46</f>
        <v>0</v>
      </c>
      <c r="U46" s="3695"/>
      <c r="V46" s="3695">
        <f>I46</f>
        <v>0</v>
      </c>
      <c r="W46" s="3695"/>
      <c r="X46" s="698"/>
      <c r="Y46" s="720"/>
      <c r="Z46" s="698"/>
      <c r="AA46" s="698"/>
      <c r="AB46" s="698"/>
      <c r="AC46" s="698"/>
    </row>
    <row r="47" spans="1:29" ht="15" thickBot="1" x14ac:dyDescent="0.25">
      <c r="A47" s="445" t="s">
        <v>2249</v>
      </c>
      <c r="B47" s="638"/>
      <c r="C47" s="448" t="e">
        <f>R48</f>
        <v>#DIV/0!</v>
      </c>
      <c r="D47" s="2488" t="s">
        <v>2639</v>
      </c>
      <c r="E47" s="448" t="e">
        <f>R47</f>
        <v>#DIV/0!</v>
      </c>
      <c r="F47" s="2489"/>
      <c r="G47" s="447" t="e">
        <f>T47</f>
        <v>#DIV/0!</v>
      </c>
      <c r="H47" s="2489"/>
      <c r="I47" s="448" t="e">
        <f>V47</f>
        <v>#DIV/0!</v>
      </c>
      <c r="J47" s="2489"/>
      <c r="K47" s="2491">
        <f>F47+H47+J47</f>
        <v>0</v>
      </c>
      <c r="L47" s="2902"/>
      <c r="M47" s="2903"/>
      <c r="N47" s="2903"/>
      <c r="O47" s="2903"/>
      <c r="P47" s="3664" t="str">
        <f>A47</f>
        <v>比较价值（元/平方米）</v>
      </c>
      <c r="Q47" s="3664"/>
      <c r="R47" s="3724" t="e">
        <f>ROUND(PRODUCT(R46,AA7:AA45),0)</f>
        <v>#DIV/0!</v>
      </c>
      <c r="S47" s="3724"/>
      <c r="T47" s="3724" t="e">
        <f>ROUND(PRODUCT(T46,AB7:AB45),0)</f>
        <v>#DIV/0!</v>
      </c>
      <c r="U47" s="3724"/>
      <c r="V47" s="3724" t="e">
        <f>ROUND(PRODUCT(V46,AC7:AC45),0)</f>
        <v>#DIV/0!</v>
      </c>
      <c r="W47" s="3724"/>
      <c r="X47" s="698"/>
      <c r="Y47" s="698"/>
      <c r="Z47" s="698"/>
      <c r="AA47" s="698"/>
      <c r="AB47" s="698"/>
      <c r="AC47" s="698"/>
    </row>
    <row r="48" spans="1:29" ht="15" thickBot="1" x14ac:dyDescent="0.25">
      <c r="A48" s="449" t="s">
        <v>2337</v>
      </c>
      <c r="B48" s="450"/>
      <c r="C48" s="451" t="e">
        <f>R48</f>
        <v>#DIV/0!</v>
      </c>
      <c r="D48" s="451"/>
      <c r="E48" s="451"/>
      <c r="F48" s="451"/>
      <c r="G48" s="451"/>
      <c r="H48" s="451"/>
      <c r="I48" s="451"/>
      <c r="J48" s="451"/>
      <c r="K48" s="723"/>
      <c r="L48" s="2902"/>
      <c r="M48" s="2903"/>
      <c r="N48" s="2903"/>
      <c r="O48" s="2903"/>
      <c r="P48" s="3661" t="str">
        <f>A48</f>
        <v>估价对象XX用房的比较价值（楼面单价，元/平方米）</v>
      </c>
      <c r="Q48" s="3662"/>
      <c r="R48" s="3725" t="e">
        <f>ROUND(IF(D47="简单平均",AVERAGE(R47:W47),R47*F47+T47*H47+V47*J47),0)</f>
        <v>#DIV/0!</v>
      </c>
      <c r="S48" s="3725"/>
      <c r="T48" s="3725"/>
      <c r="U48" s="3725"/>
      <c r="V48" s="3725"/>
      <c r="W48" s="3725"/>
      <c r="X48" s="698"/>
      <c r="Y48" s="698"/>
      <c r="Z48" s="698"/>
      <c r="AA48" s="698"/>
      <c r="AB48" s="698"/>
      <c r="AC48" s="698"/>
    </row>
    <row r="49" spans="1:29" x14ac:dyDescent="0.2">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x14ac:dyDescent="0.2">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x14ac:dyDescent="0.2">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x14ac:dyDescent="0.2">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x14ac:dyDescent="0.2">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x14ac:dyDescent="0.25">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x14ac:dyDescent="0.2">
      <c r="A55" s="639" t="s">
        <v>2338</v>
      </c>
      <c r="B55" s="640" t="s">
        <v>2339</v>
      </c>
      <c r="C55" s="2119" t="s">
        <v>2340</v>
      </c>
      <c r="D55" s="2120" t="s">
        <v>2341</v>
      </c>
      <c r="E55" s="641" t="s">
        <v>2342</v>
      </c>
      <c r="F55" s="1001" t="s">
        <v>2343</v>
      </c>
      <c r="G55" s="3679" t="s">
        <v>2344</v>
      </c>
      <c r="H55" s="3726"/>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x14ac:dyDescent="0.15">
      <c r="A56" s="643" t="s">
        <v>2347</v>
      </c>
      <c r="B56" s="644" t="e">
        <f>C48</f>
        <v>#DIV/0!</v>
      </c>
      <c r="C56" s="645">
        <v>1</v>
      </c>
      <c r="D56" s="1055">
        <v>1</v>
      </c>
      <c r="E56" s="645">
        <f>'数据-汇总表'!E8+'数据-汇总表'!E9</f>
        <v>58.81</v>
      </c>
      <c r="F56" s="997" t="e">
        <f t="shared" ref="F56:F64" si="15">ROUND(B56*E56/10000,0)</f>
        <v>#DIV/0!</v>
      </c>
      <c r="G56" s="3675"/>
      <c r="H56" s="3664"/>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x14ac:dyDescent="0.15">
      <c r="A57" s="648" t="s">
        <v>2348</v>
      </c>
      <c r="B57" s="224" t="e">
        <f>ROUND($C$48*C57*D57,0)</f>
        <v>#DIV/0!</v>
      </c>
      <c r="C57" s="176">
        <f t="shared" ref="C57:C64" si="16">IF($C$55="北京市系数",I57,J57)</f>
        <v>0.7</v>
      </c>
      <c r="D57" s="1056">
        <v>0.25</v>
      </c>
      <c r="E57" s="649"/>
      <c r="F57" s="997" t="e">
        <f t="shared" si="15"/>
        <v>#DIV/0!</v>
      </c>
      <c r="G57" s="3227" t="s">
        <v>2349</v>
      </c>
      <c r="H57" s="998" t="str">
        <f>项目基本情况!B37</f>
        <v>二级</v>
      </c>
      <c r="I57" s="1002">
        <f>SUMIF(修正!A57:A68,H57,修正!B57:B68)</f>
        <v>0.7</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x14ac:dyDescent="0.15">
      <c r="A58" s="648" t="s">
        <v>2350</v>
      </c>
      <c r="B58" s="224" t="e">
        <f t="shared" ref="B58:B64" si="17">ROUND($C$48*C58*D58,0)</f>
        <v>#DIV/0!</v>
      </c>
      <c r="C58" s="176">
        <f t="shared" si="16"/>
        <v>0.4</v>
      </c>
      <c r="D58" s="1056">
        <v>0.25</v>
      </c>
      <c r="E58" s="649"/>
      <c r="F58" s="997" t="e">
        <f t="shared" si="15"/>
        <v>#DIV/0!</v>
      </c>
      <c r="G58" s="3228"/>
      <c r="H58" s="998" t="str">
        <f>项目基本情况!B37</f>
        <v>二级</v>
      </c>
      <c r="I58" s="1002">
        <f>SUMIF(修正!A57:A68,H58,修正!C57:C68)</f>
        <v>0.4</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x14ac:dyDescent="0.15">
      <c r="A59" s="648" t="s">
        <v>2351</v>
      </c>
      <c r="B59" s="224" t="e">
        <f t="shared" si="17"/>
        <v>#DIV/0!</v>
      </c>
      <c r="C59" s="176">
        <f t="shared" si="16"/>
        <v>0.3</v>
      </c>
      <c r="D59" s="1056">
        <v>0.25</v>
      </c>
      <c r="E59" s="649"/>
      <c r="F59" s="997" t="e">
        <f t="shared" si="15"/>
        <v>#DIV/0!</v>
      </c>
      <c r="G59" s="3228"/>
      <c r="H59" s="998" t="str">
        <f>项目基本情况!B37</f>
        <v>二级</v>
      </c>
      <c r="I59" s="1002">
        <f>SUMIF(修正!A57:A68,H59,修正!D57:D68)</f>
        <v>0.3</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x14ac:dyDescent="0.15">
      <c r="A60" s="648" t="s">
        <v>2352</v>
      </c>
      <c r="B60" s="224" t="e">
        <f t="shared" si="17"/>
        <v>#DIV/0!</v>
      </c>
      <c r="C60" s="176">
        <f t="shared" si="16"/>
        <v>0</v>
      </c>
      <c r="D60" s="1056">
        <v>0.25</v>
      </c>
      <c r="E60" s="223">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x14ac:dyDescent="0.15">
      <c r="A61" s="648" t="s">
        <v>2354</v>
      </c>
      <c r="B61" s="224" t="e">
        <f t="shared" si="17"/>
        <v>#DIV/0!</v>
      </c>
      <c r="C61" s="176">
        <f t="shared" si="16"/>
        <v>0</v>
      </c>
      <c r="D61" s="1056">
        <v>0.25</v>
      </c>
      <c r="E61" s="223">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x14ac:dyDescent="0.15">
      <c r="A62" s="648" t="s">
        <v>2356</v>
      </c>
      <c r="B62" s="224" t="e">
        <f t="shared" si="17"/>
        <v>#DIV/0!</v>
      </c>
      <c r="C62" s="176">
        <f t="shared" si="16"/>
        <v>0</v>
      </c>
      <c r="D62" s="1056">
        <v>0.25</v>
      </c>
      <c r="E62" s="223">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x14ac:dyDescent="0.15">
      <c r="A63" s="648" t="s">
        <v>2358</v>
      </c>
      <c r="B63" s="224" t="e">
        <f t="shared" si="17"/>
        <v>#DIV/0!</v>
      </c>
      <c r="C63" s="176">
        <f t="shared" si="16"/>
        <v>0.2</v>
      </c>
      <c r="D63" s="1056">
        <v>0.25</v>
      </c>
      <c r="E63" s="223">
        <f>'数据-汇总表'!E14</f>
        <v>0</v>
      </c>
      <c r="F63" s="997" t="e">
        <f t="shared" si="15"/>
        <v>#DIV/0!</v>
      </c>
      <c r="G63" s="2123" t="s">
        <v>2349</v>
      </c>
      <c r="H63" s="998" t="str">
        <f>项目基本情况!B37</f>
        <v>二级</v>
      </c>
      <c r="I63" s="1002">
        <f>SUMIF(修正!A57:A68,H63,修正!G57:G68)</f>
        <v>0.2</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x14ac:dyDescent="0.2">
      <c r="A64" s="648" t="s">
        <v>2359</v>
      </c>
      <c r="B64" s="224" t="e">
        <f t="shared" si="17"/>
        <v>#DIV/0!</v>
      </c>
      <c r="C64" s="176">
        <f t="shared" si="16"/>
        <v>0</v>
      </c>
      <c r="D64" s="1056">
        <v>0.25</v>
      </c>
      <c r="E64" s="223">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5" thickBot="1" x14ac:dyDescent="0.2">
      <c r="A65" s="650" t="s">
        <v>2360</v>
      </c>
      <c r="B65" s="651" t="s">
        <v>28</v>
      </c>
      <c r="C65" s="651" t="s">
        <v>29</v>
      </c>
      <c r="D65" s="651" t="s">
        <v>816</v>
      </c>
      <c r="E65" s="651">
        <f>IF(B46="楼面地价",SUM(E56:E64),'数据-汇总表'!D3)</f>
        <v>58.81</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x14ac:dyDescent="0.2">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x14ac:dyDescent="0.2">
      <c r="A67" s="698"/>
      <c r="B67" s="700"/>
      <c r="C67" s="700" t="str">
        <f>YEAR(C7)&amp;"-"&amp;MONTH(C7)&amp;"-1"</f>
        <v>2022-11-1</v>
      </c>
      <c r="D67" s="700">
        <f>EDATE(C67,-3)</f>
        <v>44774</v>
      </c>
      <c r="E67" s="700">
        <f>EDATE(D67,-3)</f>
        <v>44682</v>
      </c>
      <c r="F67" s="700">
        <f t="shared" ref="F67:O67" si="18">EDATE(E67,-3)</f>
        <v>44593</v>
      </c>
      <c r="G67" s="700">
        <f t="shared" si="18"/>
        <v>44501</v>
      </c>
      <c r="H67" s="700">
        <f t="shared" si="18"/>
        <v>44409</v>
      </c>
      <c r="I67" s="700">
        <f t="shared" si="18"/>
        <v>44317</v>
      </c>
      <c r="J67" s="700">
        <f t="shared" si="18"/>
        <v>44228</v>
      </c>
      <c r="K67" s="700">
        <f t="shared" si="18"/>
        <v>44136</v>
      </c>
      <c r="L67" s="700">
        <f t="shared" si="18"/>
        <v>44044</v>
      </c>
      <c r="M67" s="700">
        <f t="shared" si="18"/>
        <v>43952</v>
      </c>
      <c r="N67" s="700">
        <f t="shared" si="18"/>
        <v>43862</v>
      </c>
      <c r="O67" s="700">
        <f t="shared" si="18"/>
        <v>43770</v>
      </c>
      <c r="P67" s="2903"/>
      <c r="Q67" s="2903"/>
      <c r="R67" s="2903"/>
      <c r="S67" s="2903"/>
      <c r="T67" s="2903"/>
      <c r="U67" s="2903"/>
      <c r="V67" s="2903"/>
      <c r="W67" s="2903"/>
      <c r="X67" s="2903"/>
      <c r="Y67" s="2903"/>
      <c r="Z67" s="2903"/>
      <c r="AA67" s="2903"/>
      <c r="AB67" s="2903"/>
      <c r="AC67" s="2903"/>
    </row>
    <row r="68" spans="1:29" ht="21" thickBot="1" x14ac:dyDescent="0.25">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5" customFormat="1" x14ac:dyDescent="0.2">
      <c r="A69" s="2125" t="s">
        <v>2361</v>
      </c>
      <c r="B69" s="1221"/>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4"/>
      <c r="Q69" s="2919"/>
      <c r="R69" s="2919"/>
      <c r="S69" s="2919"/>
      <c r="T69" s="2919"/>
      <c r="U69" s="2919"/>
      <c r="V69" s="2919"/>
      <c r="W69" s="2919"/>
      <c r="X69" s="2919"/>
      <c r="Y69" s="2919"/>
      <c r="Z69" s="2919"/>
      <c r="AA69" s="2919"/>
      <c r="AB69" s="2919"/>
      <c r="AC69" s="2919"/>
    </row>
    <row r="70" spans="1:29" s="113" customFormat="1" ht="30" customHeight="1" x14ac:dyDescent="0.2">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 thickBot="1" x14ac:dyDescent="0.25">
      <c r="A71" s="472" t="s">
        <v>2165</v>
      </c>
      <c r="B71" s="473"/>
      <c r="C71" s="474"/>
      <c r="D71" s="475"/>
      <c r="E71" s="475"/>
      <c r="F71" s="475"/>
      <c r="G71" s="475"/>
      <c r="H71" s="475"/>
      <c r="I71" s="475"/>
      <c r="J71" s="475"/>
      <c r="K71" s="475"/>
      <c r="L71" s="475"/>
      <c r="M71" s="476"/>
      <c r="N71" s="475"/>
      <c r="O71" s="1054"/>
      <c r="P71" s="2917"/>
      <c r="Q71" s="2917"/>
      <c r="R71" s="2837"/>
      <c r="S71" s="2837"/>
      <c r="T71" s="2837"/>
      <c r="U71" s="2837"/>
      <c r="V71" s="2837"/>
      <c r="W71" s="2837"/>
      <c r="X71" s="2837"/>
      <c r="Y71" s="2837"/>
      <c r="Z71" s="2837"/>
      <c r="AA71" s="2837"/>
      <c r="AB71" s="2837"/>
      <c r="AC71" s="2837"/>
    </row>
    <row r="72" spans="1:29" s="113" customFormat="1" x14ac:dyDescent="0.2">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 thickBot="1" x14ac:dyDescent="0.25">
      <c r="A73" s="478"/>
      <c r="B73" s="467"/>
      <c r="C73" s="594">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x14ac:dyDescent="0.2">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 thickBot="1" x14ac:dyDescent="0.25">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9" thickTop="1" x14ac:dyDescent="0.2">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 thickBot="1" x14ac:dyDescent="0.25">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 thickTop="1" x14ac:dyDescent="0.2">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x14ac:dyDescent="0.2">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 thickBot="1" x14ac:dyDescent="0.25">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 thickTop="1" x14ac:dyDescent="0.2">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 thickBot="1" x14ac:dyDescent="0.25">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 thickTop="1" x14ac:dyDescent="0.2">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 thickBot="1" x14ac:dyDescent="0.25">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 thickTop="1" x14ac:dyDescent="0.2">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 thickBot="1" x14ac:dyDescent="0.25">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x14ac:dyDescent="0.2">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 thickBot="1" x14ac:dyDescent="0.25">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 thickTop="1" x14ac:dyDescent="0.2">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 thickBot="1" x14ac:dyDescent="0.25">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 thickTop="1" x14ac:dyDescent="0.2">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 thickBot="1" x14ac:dyDescent="0.25">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 thickTop="1" x14ac:dyDescent="0.2">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 thickBot="1" x14ac:dyDescent="0.25">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 thickTop="1" x14ac:dyDescent="0.2">
      <c r="A95" s="536"/>
      <c r="B95" s="495" t="s">
        <v>2364</v>
      </c>
      <c r="C95" s="535" t="s">
        <v>2177</v>
      </c>
      <c r="D95" s="535" t="s">
        <v>2178</v>
      </c>
      <c r="E95" s="535" t="s">
        <v>2179</v>
      </c>
      <c r="F95" s="535" t="s">
        <v>2180</v>
      </c>
      <c r="G95" s="535" t="s">
        <v>2181</v>
      </c>
      <c r="H95" s="535"/>
      <c r="I95" s="535"/>
      <c r="J95" s="535"/>
      <c r="K95" s="535"/>
      <c r="L95" s="653"/>
      <c r="M95" s="577"/>
      <c r="N95" s="2930"/>
      <c r="O95" s="2930"/>
      <c r="P95" s="2956"/>
      <c r="Q95" s="2917"/>
      <c r="R95" s="2837"/>
      <c r="S95" s="2837"/>
      <c r="T95" s="2837"/>
      <c r="U95" s="2837"/>
      <c r="V95" s="2837"/>
      <c r="W95" s="2837"/>
      <c r="X95" s="2837"/>
      <c r="Y95" s="2837"/>
      <c r="Z95" s="2837"/>
      <c r="AA95" s="2837"/>
      <c r="AB95" s="2837"/>
      <c r="AC95" s="2837"/>
    </row>
    <row r="96" spans="1:29" s="113" customFormat="1" ht="15" thickBot="1" x14ac:dyDescent="0.25">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9" thickTop="1" x14ac:dyDescent="0.2">
      <c r="A97" s="536"/>
      <c r="B97" s="495" t="s">
        <v>2365</v>
      </c>
      <c r="C97" s="530" t="s">
        <v>2177</v>
      </c>
      <c r="D97" s="530" t="s">
        <v>2178</v>
      </c>
      <c r="E97" s="530" t="s">
        <v>2179</v>
      </c>
      <c r="F97" s="530" t="s">
        <v>2180</v>
      </c>
      <c r="G97" s="530" t="s">
        <v>2181</v>
      </c>
      <c r="H97" s="535"/>
      <c r="I97" s="535"/>
      <c r="J97" s="535"/>
      <c r="K97" s="535"/>
      <c r="L97" s="535"/>
      <c r="M97" s="577"/>
      <c r="N97" s="2930"/>
      <c r="O97" s="2930"/>
      <c r="P97" s="2956"/>
      <c r="Q97" s="2917"/>
      <c r="R97" s="2837"/>
      <c r="S97" s="2837"/>
      <c r="T97" s="2837"/>
      <c r="U97" s="2837"/>
      <c r="V97" s="2837"/>
      <c r="W97" s="2837"/>
      <c r="X97" s="2837"/>
      <c r="Y97" s="2837"/>
      <c r="Z97" s="2837"/>
      <c r="AA97" s="2837"/>
      <c r="AB97" s="2837"/>
      <c r="AC97" s="2837"/>
    </row>
    <row r="98" spans="1:29" s="113" customFormat="1" ht="15" thickBot="1" x14ac:dyDescent="0.25">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 thickTop="1" x14ac:dyDescent="0.2">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 thickBot="1" x14ac:dyDescent="0.25">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 thickTop="1" x14ac:dyDescent="0.2">
      <c r="A101" s="510"/>
      <c r="B101" s="503" t="s">
        <v>2235</v>
      </c>
      <c r="C101" s="615" t="s">
        <v>2255</v>
      </c>
      <c r="D101" s="615" t="s">
        <v>2256</v>
      </c>
      <c r="E101" s="615" t="s">
        <v>2257</v>
      </c>
      <c r="F101" s="615" t="s">
        <v>2258</v>
      </c>
      <c r="G101" s="615" t="s">
        <v>2259</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 thickBot="1" x14ac:dyDescent="0.25">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5" thickTop="1" x14ac:dyDescent="0.2">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 thickBot="1" x14ac:dyDescent="0.25">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9" thickTop="1" x14ac:dyDescent="0.2">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 thickBot="1" x14ac:dyDescent="0.25">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 thickTop="1" x14ac:dyDescent="0.2">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 thickBot="1" x14ac:dyDescent="0.25">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 thickTop="1" x14ac:dyDescent="0.2">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 thickBot="1" x14ac:dyDescent="0.25">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x14ac:dyDescent="0.2">
      <c r="A111" s="630"/>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 thickBot="1" x14ac:dyDescent="0.25">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x14ac:dyDescent="0.2">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 thickBot="1" x14ac:dyDescent="0.25">
      <c r="A114" s="510"/>
      <c r="B114" s="503"/>
      <c r="C114" s="469"/>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x14ac:dyDescent="0.2">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x14ac:dyDescent="0.2">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 thickBot="1" x14ac:dyDescent="0.25">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x14ac:dyDescent="0.2">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 thickBot="1" x14ac:dyDescent="0.25">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x14ac:dyDescent="0.2">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 thickBot="1" x14ac:dyDescent="0.25">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x14ac:dyDescent="0.2">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 thickBot="1" x14ac:dyDescent="0.25">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x14ac:dyDescent="0.2">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 thickBot="1" x14ac:dyDescent="0.25">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x14ac:dyDescent="0.2">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 thickBot="1" x14ac:dyDescent="0.25">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x14ac:dyDescent="0.2">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 thickBot="1" x14ac:dyDescent="0.25">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x14ac:dyDescent="0.2">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 thickBot="1" x14ac:dyDescent="0.25">
      <c r="A131" s="525"/>
      <c r="B131" s="655"/>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baseColWidth="10" defaultColWidth="9" defaultRowHeight="14" x14ac:dyDescent="0.2"/>
  <cols>
    <col min="1" max="1" width="0.83203125" style="1627" customWidth="1"/>
    <col min="2" max="2" width="37.1640625" style="1627" customWidth="1"/>
    <col min="3" max="3" width="11.33203125" style="1627" customWidth="1"/>
    <col min="4" max="4" width="31.6640625" style="1627" customWidth="1"/>
    <col min="5" max="5" width="0.5" style="1627" customWidth="1"/>
    <col min="6" max="7" width="13" style="1627" customWidth="1"/>
    <col min="8" max="16384" width="9" style="1627"/>
  </cols>
  <sheetData>
    <row r="1" spans="1:5" ht="18" x14ac:dyDescent="0.2">
      <c r="A1" s="1625" t="s">
        <v>1345</v>
      </c>
      <c r="B1" s="1626"/>
      <c r="C1" s="1626"/>
      <c r="D1" s="1626"/>
      <c r="E1" s="1626"/>
    </row>
    <row r="2" spans="1:5" ht="78" customHeight="1" x14ac:dyDescent="0.2">
      <c r="A2" s="33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79"/>
      <c r="C2" s="3379"/>
      <c r="D2" s="3379"/>
      <c r="E2" s="3379"/>
    </row>
    <row r="3" spans="1:5" ht="18" x14ac:dyDescent="0.2">
      <c r="A3" s="3380" t="str">
        <f>IF(项目基本情况!B9="房地产市场价值","估价结果一览表（市场价值不需“结果表-1”）","估价结果一览表")</f>
        <v>估价结果一览表（市场价值不需“结果表-1”）</v>
      </c>
      <c r="B3" s="3380"/>
      <c r="C3" s="3380"/>
      <c r="D3" s="3380"/>
      <c r="E3" s="3380"/>
    </row>
    <row r="4" spans="1:5" ht="19" thickBot="1" x14ac:dyDescent="0.25">
      <c r="A4" s="1628"/>
      <c r="B4" s="3378" t="s">
        <v>1354</v>
      </c>
      <c r="C4" s="3378"/>
      <c r="D4" s="3378"/>
      <c r="E4" s="1628"/>
    </row>
    <row r="5" spans="1:5" ht="17" thickTop="1" x14ac:dyDescent="0.2">
      <c r="A5" s="1626"/>
      <c r="B5" s="3376" t="s">
        <v>1346</v>
      </c>
      <c r="C5" s="1629" t="s">
        <v>1347</v>
      </c>
      <c r="D5" s="939" t="e">
        <f ca="1">'结果表-商业'!H101</f>
        <v>#REF!</v>
      </c>
      <c r="E5" s="1626"/>
    </row>
    <row r="6" spans="1:5" ht="16" x14ac:dyDescent="0.2">
      <c r="A6" s="1626"/>
      <c r="B6" s="3376"/>
      <c r="C6" s="1629" t="s">
        <v>1348</v>
      </c>
      <c r="D6" s="939" t="e">
        <f ca="1">NUMBERSTRING(INT(D5*10000),2)&amp;"元整"</f>
        <v>#REF!</v>
      </c>
      <c r="E6" s="1626"/>
    </row>
    <row r="7" spans="1:5" ht="16" x14ac:dyDescent="0.2">
      <c r="A7" s="1626"/>
      <c r="B7" s="3381"/>
      <c r="C7" s="1630" t="s">
        <v>1349</v>
      </c>
      <c r="D7" s="940" t="e">
        <f ca="1">'结果表-商业'!H102</f>
        <v>#REF!</v>
      </c>
      <c r="E7" s="1626"/>
    </row>
    <row r="8" spans="1:5" ht="16" x14ac:dyDescent="0.2">
      <c r="A8" s="1626"/>
      <c r="B8" s="3382" t="str">
        <f>'结果表-商业'!E103</f>
        <v>2.估价师知悉的法定优先受偿款</v>
      </c>
      <c r="C8" s="1631" t="s">
        <v>1350</v>
      </c>
      <c r="D8" s="940">
        <f>'结果表-商业'!H103</f>
        <v>0</v>
      </c>
      <c r="E8" s="1626"/>
    </row>
    <row r="9" spans="1:5" ht="16" x14ac:dyDescent="0.2">
      <c r="A9" s="1626"/>
      <c r="B9" s="3384"/>
      <c r="C9" s="1629" t="s">
        <v>1348</v>
      </c>
      <c r="D9" s="939" t="str">
        <f>NUMBERSTRING(INT(D8*10000),2)&amp;"元整"</f>
        <v>零元整</v>
      </c>
      <c r="E9" s="1626"/>
    </row>
    <row r="10" spans="1:5" ht="16" x14ac:dyDescent="0.2">
      <c r="A10" s="1626"/>
      <c r="B10" s="1632" t="s">
        <v>1353</v>
      </c>
      <c r="C10" s="1633" t="s">
        <v>1351</v>
      </c>
      <c r="D10" s="941">
        <f>'结果表-商业'!H104</f>
        <v>0</v>
      </c>
      <c r="E10" s="1626"/>
    </row>
    <row r="11" spans="1:5" ht="16" x14ac:dyDescent="0.2">
      <c r="A11" s="1626"/>
      <c r="B11" s="1632" t="s">
        <v>1355</v>
      </c>
      <c r="C11" s="1633" t="s">
        <v>1356</v>
      </c>
      <c r="D11" s="941">
        <f>'结果表-商业'!H105</f>
        <v>0</v>
      </c>
      <c r="E11" s="1626"/>
    </row>
    <row r="12" spans="1:5" ht="16" x14ac:dyDescent="0.2">
      <c r="A12" s="1626"/>
      <c r="B12" s="1632" t="s">
        <v>1357</v>
      </c>
      <c r="C12" s="1633" t="s">
        <v>1356</v>
      </c>
      <c r="D12" s="941">
        <f>'结果表-商业'!H106</f>
        <v>0</v>
      </c>
      <c r="E12" s="1626"/>
    </row>
    <row r="13" spans="1:5" ht="16" x14ac:dyDescent="0.2">
      <c r="A13" s="1626"/>
      <c r="B13" s="3375" t="str">
        <f>'结果表-商业'!E107</f>
        <v>3.房地产抵押价值</v>
      </c>
      <c r="C13" s="1634" t="s">
        <v>1347</v>
      </c>
      <c r="D13" s="942" t="e">
        <f ca="1">'结果表-商业'!H107</f>
        <v>#REF!</v>
      </c>
      <c r="E13" s="1626"/>
    </row>
    <row r="14" spans="1:5" ht="16" x14ac:dyDescent="0.2">
      <c r="A14" s="1626"/>
      <c r="B14" s="3376"/>
      <c r="C14" s="1629" t="s">
        <v>1348</v>
      </c>
      <c r="D14" s="939" t="e">
        <f ca="1">NUMBERSTRING(INT(D13*10000),2)&amp;"元整"</f>
        <v>#REF!</v>
      </c>
      <c r="E14" s="1626"/>
    </row>
    <row r="15" spans="1:5" ht="16" x14ac:dyDescent="0.2">
      <c r="A15" s="1626"/>
      <c r="B15" s="3381"/>
      <c r="C15" s="1630" t="s">
        <v>1358</v>
      </c>
      <c r="D15" s="948" t="e">
        <f ca="1">'结果表-商业'!H108</f>
        <v>#REF!</v>
      </c>
      <c r="E15" s="1626"/>
    </row>
    <row r="16" spans="1:5" ht="15" x14ac:dyDescent="0.2">
      <c r="A16" s="1626"/>
      <c r="B16" s="3382" t="str">
        <f>'结果表-商业'!E109</f>
        <v>——</v>
      </c>
      <c r="C16" s="1634" t="s">
        <v>1359</v>
      </c>
      <c r="D16" s="1635" t="str">
        <f>'结果表-商业'!H109</f>
        <v>——</v>
      </c>
      <c r="E16" s="1626"/>
    </row>
    <row r="17" spans="1:5" ht="16" x14ac:dyDescent="0.2">
      <c r="A17" s="1626"/>
      <c r="B17" s="3383"/>
      <c r="C17" s="1629" t="s">
        <v>1360</v>
      </c>
      <c r="D17" s="939" t="e">
        <f>NUMBERSTRING(INT(D16*10000),2)&amp;"元整"</f>
        <v>#VALUE!</v>
      </c>
      <c r="E17" s="1626"/>
    </row>
    <row r="18" spans="1:5" ht="16" x14ac:dyDescent="0.2">
      <c r="A18" s="1626"/>
      <c r="B18" s="3384"/>
      <c r="C18" s="1630" t="s">
        <v>1349</v>
      </c>
      <c r="D18" s="948" t="str">
        <f>'结果表-商业'!H110</f>
        <v>——</v>
      </c>
      <c r="E18" s="1626"/>
    </row>
    <row r="19" spans="1:5" ht="16" x14ac:dyDescent="0.2">
      <c r="A19" s="1626"/>
      <c r="B19" s="3375" t="str">
        <f>'结果表-商业'!E111</f>
        <v>——</v>
      </c>
      <c r="C19" s="1634" t="s">
        <v>1347</v>
      </c>
      <c r="D19" s="940" t="str">
        <f>'结果表-商业'!H111</f>
        <v>——</v>
      </c>
      <c r="E19" s="1626"/>
    </row>
    <row r="20" spans="1:5" ht="16" x14ac:dyDescent="0.2">
      <c r="A20" s="1626"/>
      <c r="B20" s="3376"/>
      <c r="C20" s="1629" t="s">
        <v>1360</v>
      </c>
      <c r="D20" s="939" t="e">
        <f>NUMBERSTRING(INT(D19*10000),2)&amp;"元整"</f>
        <v>#VALUE!</v>
      </c>
      <c r="E20" s="1626"/>
    </row>
    <row r="21" spans="1:5" ht="17" thickBot="1" x14ac:dyDescent="0.25">
      <c r="A21" s="1626"/>
      <c r="B21" s="3377"/>
      <c r="C21" s="1636" t="s">
        <v>1358</v>
      </c>
      <c r="D21" s="949" t="str">
        <f>'结果表-商业'!H112</f>
        <v>——</v>
      </c>
      <c r="E21" s="1626"/>
    </row>
    <row r="22" spans="1:5" ht="15" thickTop="1" x14ac:dyDescent="0.2">
      <c r="A22" s="1626"/>
      <c r="B22" s="1637" t="s">
        <v>1361</v>
      </c>
      <c r="C22" s="1626"/>
      <c r="D22" s="1626"/>
      <c r="E22" s="1626"/>
    </row>
    <row r="23" spans="1:5" x14ac:dyDescent="0.2">
      <c r="A23" s="1626"/>
      <c r="B23" s="1626"/>
      <c r="C23" s="1626"/>
      <c r="D23" s="1626"/>
      <c r="E23" s="1626"/>
    </row>
    <row r="24" spans="1:5" ht="18" x14ac:dyDescent="0.2">
      <c r="A24" s="1638"/>
      <c r="B24" s="1639" t="s">
        <v>1352</v>
      </c>
      <c r="C24" s="1638"/>
      <c r="D24" s="1638"/>
      <c r="E24" s="1638"/>
    </row>
    <row r="25" spans="1:5" x14ac:dyDescent="0.2">
      <c r="A25" s="1638"/>
      <c r="B25" s="1638"/>
      <c r="C25" s="1638"/>
      <c r="D25" s="1638"/>
      <c r="E25" s="1638"/>
    </row>
    <row r="26" spans="1:5" x14ac:dyDescent="0.2">
      <c r="A26" s="1638"/>
      <c r="B26" s="1638"/>
      <c r="C26" s="1638"/>
      <c r="D26" s="1638"/>
      <c r="E26" s="1638"/>
    </row>
    <row r="27" spans="1:5" x14ac:dyDescent="0.2">
      <c r="A27" s="1638"/>
      <c r="B27" s="1638"/>
      <c r="C27" s="1638"/>
      <c r="D27" s="1638"/>
      <c r="E27" s="1638"/>
    </row>
    <row r="28" spans="1:5" x14ac:dyDescent="0.2">
      <c r="A28" s="1638"/>
      <c r="B28" s="1638"/>
      <c r="C28" s="1638"/>
      <c r="D28" s="1638"/>
      <c r="E28" s="1638"/>
    </row>
    <row r="29" spans="1:5" x14ac:dyDescent="0.2">
      <c r="A29" s="1638"/>
      <c r="B29" s="1638"/>
      <c r="C29" s="1638"/>
      <c r="D29" s="1638"/>
      <c r="E29" s="1638"/>
    </row>
    <row r="30" spans="1:5" x14ac:dyDescent="0.2">
      <c r="A30" s="1638"/>
      <c r="B30" s="1638"/>
      <c r="C30" s="1638"/>
      <c r="D30" s="1638"/>
      <c r="E30" s="1638"/>
    </row>
    <row r="31" spans="1:5" x14ac:dyDescent="0.2">
      <c r="A31" s="1638"/>
      <c r="B31" s="1638"/>
      <c r="C31" s="1638"/>
      <c r="D31" s="1638"/>
      <c r="E31" s="1638"/>
    </row>
    <row r="32" spans="1:5" x14ac:dyDescent="0.2">
      <c r="A32" s="1638"/>
      <c r="B32" s="1638"/>
      <c r="C32" s="1638"/>
      <c r="D32" s="1638"/>
      <c r="E32" s="1638"/>
    </row>
    <row r="33" spans="1:5" x14ac:dyDescent="0.2">
      <c r="A33" s="1638"/>
      <c r="B33" s="1638"/>
      <c r="C33" s="1638"/>
      <c r="D33" s="1638"/>
      <c r="E33" s="1638"/>
    </row>
    <row r="34" spans="1:5" x14ac:dyDescent="0.2">
      <c r="A34" s="1638"/>
      <c r="B34" s="1638"/>
      <c r="C34" s="1638"/>
      <c r="D34" s="1638"/>
      <c r="E34" s="1638"/>
    </row>
    <row r="35" spans="1:5" x14ac:dyDescent="0.2">
      <c r="A35" s="1638"/>
      <c r="B35" s="1638"/>
      <c r="C35" s="1638"/>
      <c r="D35" s="1638"/>
      <c r="E35" s="1638"/>
    </row>
    <row r="36" spans="1:5" x14ac:dyDescent="0.2">
      <c r="A36" s="1638"/>
      <c r="B36" s="1638"/>
      <c r="C36" s="1638"/>
      <c r="D36" s="1638"/>
      <c r="E36" s="1638"/>
    </row>
    <row r="37" spans="1:5" x14ac:dyDescent="0.2">
      <c r="A37" s="1638"/>
      <c r="B37" s="1638"/>
      <c r="C37" s="1638"/>
      <c r="D37" s="1638"/>
      <c r="E37" s="1638"/>
    </row>
    <row r="38" spans="1:5" x14ac:dyDescent="0.2">
      <c r="A38" s="1638"/>
      <c r="B38" s="1638"/>
      <c r="C38" s="1638"/>
      <c r="D38" s="1638"/>
      <c r="E38" s="1638"/>
    </row>
    <row r="39" spans="1:5" x14ac:dyDescent="0.2">
      <c r="A39" s="1638"/>
      <c r="B39" s="1638"/>
      <c r="C39" s="1638"/>
      <c r="D39" s="1638"/>
      <c r="E39" s="1638"/>
    </row>
    <row r="40" spans="1:5" x14ac:dyDescent="0.2">
      <c r="A40" s="1638"/>
      <c r="B40" s="1638"/>
      <c r="C40" s="1638"/>
      <c r="D40" s="1638"/>
      <c r="E40" s="1638"/>
    </row>
    <row r="41" spans="1:5" x14ac:dyDescent="0.2">
      <c r="A41" s="1638"/>
      <c r="B41" s="1638"/>
      <c r="C41" s="1638"/>
      <c r="D41" s="1638"/>
      <c r="E41" s="1638"/>
    </row>
    <row r="42" spans="1:5" x14ac:dyDescent="0.2">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E123"/>
  <sheetViews>
    <sheetView view="pageBreakPreview" topLeftCell="A37" zoomScale="60" zoomScaleNormal="60" workbookViewId="0">
      <selection activeCell="Q80" sqref="Q80"/>
    </sheetView>
  </sheetViews>
  <sheetFormatPr baseColWidth="10" defaultColWidth="9" defaultRowHeight="14" x14ac:dyDescent="0.2"/>
  <cols>
    <col min="1" max="1" width="14.33203125" style="363" customWidth="1"/>
    <col min="2" max="2" width="15.6640625" style="363" customWidth="1"/>
    <col min="3" max="3" width="14.33203125" style="363" customWidth="1"/>
    <col min="4" max="4" width="12.1640625" style="363" customWidth="1"/>
    <col min="5" max="5" width="14.33203125" style="363" customWidth="1"/>
    <col min="6" max="6" width="12.1640625" style="363" customWidth="1"/>
    <col min="7" max="7" width="14.5" style="363" customWidth="1"/>
    <col min="8" max="8" width="12.1640625" style="363" customWidth="1"/>
    <col min="9" max="9" width="14.5" style="363" customWidth="1"/>
    <col min="10" max="10" width="12.1640625" style="363" customWidth="1"/>
    <col min="11" max="11" width="12.1640625" style="452" customWidth="1"/>
    <col min="12" max="12" width="12.1640625" style="453" customWidth="1"/>
    <col min="13" max="15" width="12.1640625" style="363" customWidth="1"/>
    <col min="16" max="16" width="4.6640625" style="363" customWidth="1"/>
    <col min="17" max="17" width="19.5" style="363" customWidth="1"/>
    <col min="18" max="22" width="6.1640625" style="363" customWidth="1"/>
    <col min="23" max="23" width="5.6640625" style="363" customWidth="1"/>
    <col min="24" max="24" width="4.1640625" style="363" customWidth="1"/>
    <col min="25" max="25" width="3.5" style="363" customWidth="1"/>
    <col min="26" max="26" width="19.6640625" style="363" customWidth="1"/>
    <col min="27" max="28" width="9.33203125" style="363" customWidth="1"/>
    <col min="29" max="16384" width="9" style="363"/>
  </cols>
  <sheetData>
    <row r="1" spans="1:29" s="358" customFormat="1" ht="28.5" customHeight="1" x14ac:dyDescent="0.2">
      <c r="A1" s="354" t="s">
        <v>2324</v>
      </c>
      <c r="B1" s="355"/>
      <c r="C1" s="356"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x14ac:dyDescent="0.2">
      <c r="A2" s="207" t="s">
        <v>1907</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8" customFormat="1" ht="28.5" customHeight="1" thickBot="1" x14ac:dyDescent="0.25">
      <c r="A3" s="209" t="s">
        <v>1909</v>
      </c>
      <c r="B3" s="566" t="e">
        <f>ROUND(IF(D3="",B2*10000/'数据-汇总表'!E3,B2*10000/D3),0)</f>
        <v>#DIV/0!</v>
      </c>
      <c r="C3" s="209"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x14ac:dyDescent="0.2">
      <c r="A4" s="361" t="s">
        <v>2225</v>
      </c>
      <c r="B4" s="362"/>
      <c r="C4" s="3679" t="s">
        <v>2226</v>
      </c>
      <c r="D4" s="3680"/>
      <c r="E4" s="3681" t="s">
        <v>2227</v>
      </c>
      <c r="F4" s="3682"/>
      <c r="G4" s="3679" t="s">
        <v>2228</v>
      </c>
      <c r="H4" s="3680"/>
      <c r="I4" s="3679" t="s">
        <v>2229</v>
      </c>
      <c r="J4" s="3680"/>
      <c r="K4" s="567" t="s">
        <v>2230</v>
      </c>
      <c r="L4" s="2893"/>
      <c r="M4" s="2894"/>
      <c r="N4" s="2894"/>
      <c r="O4" s="2894"/>
      <c r="P4" s="3683" t="s">
        <v>2231</v>
      </c>
      <c r="Q4" s="3684"/>
      <c r="R4" s="3689" t="s">
        <v>2227</v>
      </c>
      <c r="S4" s="3690"/>
      <c r="T4" s="3689" t="s">
        <v>2228</v>
      </c>
      <c r="U4" s="3690"/>
      <c r="V4" s="3695" t="s">
        <v>2229</v>
      </c>
      <c r="W4" s="3695"/>
      <c r="X4" s="1489"/>
      <c r="Y4" s="3689" t="s">
        <v>2231</v>
      </c>
      <c r="Z4" s="3690"/>
      <c r="AA4" s="3676" t="s">
        <v>2227</v>
      </c>
      <c r="AB4" s="3677" t="s">
        <v>2228</v>
      </c>
      <c r="AC4" s="3676" t="s">
        <v>2229</v>
      </c>
    </row>
    <row r="5" spans="1:29" x14ac:dyDescent="0.2">
      <c r="A5" s="364"/>
      <c r="B5" s="365"/>
      <c r="C5" s="3698" t="s">
        <v>2122</v>
      </c>
      <c r="D5" s="3699"/>
      <c r="E5" s="3705" t="s">
        <v>2123</v>
      </c>
      <c r="F5" s="3706"/>
      <c r="G5" s="3698" t="s">
        <v>2124</v>
      </c>
      <c r="H5" s="3699"/>
      <c r="I5" s="3698" t="s">
        <v>2125</v>
      </c>
      <c r="J5" s="3699"/>
      <c r="K5" s="567"/>
      <c r="L5" s="2893"/>
      <c r="M5" s="2894"/>
      <c r="N5" s="2894"/>
      <c r="O5" s="2894"/>
      <c r="P5" s="3685"/>
      <c r="Q5" s="3686"/>
      <c r="R5" s="3691"/>
      <c r="S5" s="3692"/>
      <c r="T5" s="3691"/>
      <c r="U5" s="3692"/>
      <c r="V5" s="3695"/>
      <c r="W5" s="3695"/>
      <c r="X5" s="1489"/>
      <c r="Y5" s="3691"/>
      <c r="Z5" s="3692"/>
      <c r="AA5" s="3677"/>
      <c r="AB5" s="3677"/>
      <c r="AC5" s="3677"/>
    </row>
    <row r="6" spans="1:29" ht="15" thickBot="1" x14ac:dyDescent="0.25">
      <c r="A6" s="366"/>
      <c r="B6" s="367"/>
      <c r="C6" s="3727" t="s">
        <v>2376</v>
      </c>
      <c r="D6" s="3728"/>
      <c r="E6" s="3729" t="s">
        <v>2376</v>
      </c>
      <c r="F6" s="3730"/>
      <c r="G6" s="3727" t="s">
        <v>2376</v>
      </c>
      <c r="H6" s="3728"/>
      <c r="I6" s="3727" t="s">
        <v>2376</v>
      </c>
      <c r="J6" s="3728"/>
      <c r="K6" s="567" t="s">
        <v>2127</v>
      </c>
      <c r="L6" s="2893"/>
      <c r="M6" s="2894"/>
      <c r="N6" s="2894"/>
      <c r="O6" s="2894"/>
      <c r="P6" s="3687"/>
      <c r="Q6" s="3688"/>
      <c r="R6" s="3691"/>
      <c r="S6" s="3692"/>
      <c r="T6" s="3693"/>
      <c r="U6" s="3694"/>
      <c r="V6" s="3695"/>
      <c r="W6" s="3695"/>
      <c r="X6" s="1489"/>
      <c r="Y6" s="3693"/>
      <c r="Z6" s="3694"/>
      <c r="AA6" s="3678"/>
      <c r="AB6" s="3678"/>
      <c r="AC6" s="3678"/>
    </row>
    <row r="7" spans="1:29" s="113" customFormat="1" ht="15" thickBot="1" x14ac:dyDescent="0.25">
      <c r="A7" s="368" t="s">
        <v>2128</v>
      </c>
      <c r="B7" s="369"/>
      <c r="C7" s="370">
        <f>'数据-取费表'!B2</f>
        <v>44868</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700" t="s">
        <v>2129</v>
      </c>
      <c r="Q7" s="3702"/>
      <c r="R7" s="709" t="s">
        <v>17</v>
      </c>
      <c r="S7" s="710">
        <f t="shared" ref="S7:S15" si="0">F7</f>
        <v>0</v>
      </c>
      <c r="T7" s="709" t="s">
        <v>17</v>
      </c>
      <c r="U7" s="710">
        <f t="shared" ref="U7:U15" si="1">H7</f>
        <v>0</v>
      </c>
      <c r="V7" s="709" t="s">
        <v>17</v>
      </c>
      <c r="W7" s="710">
        <f t="shared" ref="W7:W15" si="2">J7</f>
        <v>0</v>
      </c>
      <c r="X7" s="711"/>
      <c r="Y7" s="3700" t="s">
        <v>2129</v>
      </c>
      <c r="Z7" s="3701"/>
      <c r="AA7" s="712" t="e">
        <f>D7/F7</f>
        <v>#DIV/0!</v>
      </c>
      <c r="AB7" s="712" t="e">
        <f>D7/H7</f>
        <v>#DIV/0!</v>
      </c>
      <c r="AC7" s="712" t="e">
        <f>D7/J7</f>
        <v>#DIV/0!</v>
      </c>
    </row>
    <row r="8" spans="1:29" s="113" customFormat="1" ht="15" thickBot="1" x14ac:dyDescent="0.25">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700" t="s">
        <v>2132</v>
      </c>
      <c r="Q8" s="3701"/>
      <c r="R8" s="709" t="s">
        <v>17</v>
      </c>
      <c r="S8" s="710">
        <f t="shared" si="0"/>
        <v>0</v>
      </c>
      <c r="T8" s="709" t="s">
        <v>17</v>
      </c>
      <c r="U8" s="710">
        <f t="shared" si="1"/>
        <v>0</v>
      </c>
      <c r="V8" s="709" t="s">
        <v>17</v>
      </c>
      <c r="W8" s="710">
        <f t="shared" si="2"/>
        <v>0</v>
      </c>
      <c r="X8" s="711"/>
      <c r="Y8" s="3700" t="s">
        <v>2132</v>
      </c>
      <c r="Z8" s="3701"/>
      <c r="AA8" s="712" t="e">
        <f t="shared" ref="AA8:AA40" si="3">D8/F8</f>
        <v>#DIV/0!</v>
      </c>
      <c r="AB8" s="712" t="e">
        <f t="shared" ref="AB8:AB40" si="4">D8/H8</f>
        <v>#DIV/0!</v>
      </c>
      <c r="AC8" s="712" t="e">
        <f t="shared" ref="AC8:AC40" si="5">D8/J8</f>
        <v>#DIV/0!</v>
      </c>
    </row>
    <row r="9" spans="1:29" s="113" customFormat="1" x14ac:dyDescent="0.2">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664" t="s">
        <v>2135</v>
      </c>
      <c r="Q9" s="1477" t="str">
        <f t="shared" ref="Q9:Q15" si="6">B9</f>
        <v>用途</v>
      </c>
      <c r="R9" s="709" t="s">
        <v>17</v>
      </c>
      <c r="S9" s="710">
        <f t="shared" si="0"/>
        <v>100</v>
      </c>
      <c r="T9" s="709" t="s">
        <v>17</v>
      </c>
      <c r="U9" s="710">
        <f t="shared" si="1"/>
        <v>100</v>
      </c>
      <c r="V9" s="709" t="s">
        <v>17</v>
      </c>
      <c r="W9" s="710">
        <f t="shared" si="2"/>
        <v>100</v>
      </c>
      <c r="X9" s="711"/>
      <c r="Y9" s="3536" t="s">
        <v>2136</v>
      </c>
      <c r="Z9" s="55" t="str">
        <f t="shared" ref="Z9:Z15" si="7">Q9</f>
        <v>用途</v>
      </c>
      <c r="AA9" s="712">
        <f t="shared" si="3"/>
        <v>1</v>
      </c>
      <c r="AB9" s="712">
        <f t="shared" si="4"/>
        <v>1</v>
      </c>
      <c r="AC9" s="712">
        <f t="shared" si="5"/>
        <v>1</v>
      </c>
    </row>
    <row r="10" spans="1:29" s="386" customFormat="1" ht="28" x14ac:dyDescent="0.2">
      <c r="A10" s="380"/>
      <c r="B10" s="381" t="s">
        <v>2137</v>
      </c>
      <c r="C10" s="391"/>
      <c r="D10" s="132">
        <v>100</v>
      </c>
      <c r="E10" s="391"/>
      <c r="F10" s="132">
        <f>ROUND(100/'数据-取费表'!G16,0)</f>
        <v>128</v>
      </c>
      <c r="G10" s="391"/>
      <c r="H10" s="132">
        <f>ROUND(100/'数据-取费表'!G16,0)</f>
        <v>128</v>
      </c>
      <c r="I10" s="391"/>
      <c r="J10" s="132">
        <f>ROUND(100/'数据-取费表'!G16,0)</f>
        <v>128</v>
      </c>
      <c r="K10" s="627"/>
      <c r="L10" s="2897"/>
      <c r="M10" s="2898"/>
      <c r="N10" s="2898"/>
      <c r="O10" s="2951"/>
      <c r="P10" s="3664"/>
      <c r="Q10" s="1477" t="str">
        <f t="shared" si="6"/>
        <v>土地使用年限（年）</v>
      </c>
      <c r="R10" s="709" t="s">
        <v>17</v>
      </c>
      <c r="S10" s="710">
        <f t="shared" si="0"/>
        <v>128</v>
      </c>
      <c r="T10" s="709" t="s">
        <v>17</v>
      </c>
      <c r="U10" s="710">
        <f t="shared" si="1"/>
        <v>128</v>
      </c>
      <c r="V10" s="709" t="s">
        <v>17</v>
      </c>
      <c r="W10" s="710">
        <f t="shared" si="2"/>
        <v>128</v>
      </c>
      <c r="X10" s="711"/>
      <c r="Y10" s="3536"/>
      <c r="Z10" s="55" t="str">
        <f t="shared" si="7"/>
        <v>土地使用年限（年）</v>
      </c>
      <c r="AA10" s="712">
        <f t="shared" si="3"/>
        <v>0.78125</v>
      </c>
      <c r="AB10" s="712">
        <f t="shared" si="4"/>
        <v>0.78125</v>
      </c>
      <c r="AC10" s="712">
        <f t="shared" si="5"/>
        <v>0.78125</v>
      </c>
    </row>
    <row r="11" spans="1:29" ht="16" x14ac:dyDescent="0.2">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899"/>
      <c r="M11" s="2894"/>
      <c r="N11" s="2894"/>
      <c r="O11" s="2952"/>
      <c r="P11" s="3664"/>
      <c r="Q11" s="1477" t="str">
        <f t="shared" si="6"/>
        <v>容积率</v>
      </c>
      <c r="R11" s="709" t="s">
        <v>17</v>
      </c>
      <c r="S11" s="710" t="e">
        <f t="shared" si="0"/>
        <v>#N/A</v>
      </c>
      <c r="T11" s="709" t="s">
        <v>17</v>
      </c>
      <c r="U11" s="710" t="e">
        <f t="shared" si="1"/>
        <v>#N/A</v>
      </c>
      <c r="V11" s="709" t="s">
        <v>17</v>
      </c>
      <c r="W11" s="710" t="e">
        <f t="shared" si="2"/>
        <v>#N/A</v>
      </c>
      <c r="X11" s="711"/>
      <c r="Y11" s="3536"/>
      <c r="Z11" s="55" t="str">
        <f t="shared" si="7"/>
        <v>容积率</v>
      </c>
      <c r="AA11" s="712" t="e">
        <f t="shared" si="3"/>
        <v>#N/A</v>
      </c>
      <c r="AB11" s="712" t="e">
        <f t="shared" si="4"/>
        <v>#N/A</v>
      </c>
      <c r="AC11" s="712" t="e">
        <f t="shared" si="5"/>
        <v>#N/A</v>
      </c>
    </row>
    <row r="12" spans="1:29" s="113" customFormat="1" ht="16" x14ac:dyDescent="0.2">
      <c r="A12" s="390"/>
      <c r="B12" s="2029">
        <v>111</v>
      </c>
      <c r="C12" s="391"/>
      <c r="D12" s="392">
        <v>100</v>
      </c>
      <c r="E12" s="506"/>
      <c r="F12" s="132">
        <f>SUMIF(77:77,E12,78:78)-SUMIF(77:77,C12,78:78)+100</f>
        <v>100</v>
      </c>
      <c r="G12" s="629"/>
      <c r="H12" s="132">
        <f>SUMIF(77:77,G12,78:78)-SUMIF(77:77,C12,78:78)+100</f>
        <v>100</v>
      </c>
      <c r="I12" s="506"/>
      <c r="J12" s="132">
        <f>SUMIF(77:77,I12,78:78)-SUMIF(77:77,C12,78:78)+100</f>
        <v>100</v>
      </c>
      <c r="K12" s="627"/>
      <c r="L12" s="2895"/>
      <c r="M12" s="2896"/>
      <c r="N12" s="2896"/>
      <c r="O12" s="2950"/>
      <c r="P12" s="3664"/>
      <c r="Q12" s="1477">
        <f t="shared" si="6"/>
        <v>111</v>
      </c>
      <c r="R12" s="709" t="s">
        <v>17</v>
      </c>
      <c r="S12" s="710">
        <f t="shared" si="0"/>
        <v>100</v>
      </c>
      <c r="T12" s="709" t="s">
        <v>17</v>
      </c>
      <c r="U12" s="710">
        <f t="shared" si="1"/>
        <v>100</v>
      </c>
      <c r="V12" s="709" t="s">
        <v>17</v>
      </c>
      <c r="W12" s="710">
        <f t="shared" si="2"/>
        <v>100</v>
      </c>
      <c r="X12" s="711"/>
      <c r="Y12" s="3536"/>
      <c r="Z12" s="55">
        <f t="shared" si="7"/>
        <v>111</v>
      </c>
      <c r="AA12" s="712">
        <f>D12/F12</f>
        <v>1</v>
      </c>
      <c r="AB12" s="712">
        <f>D12/H12</f>
        <v>1</v>
      </c>
      <c r="AC12" s="712">
        <f>D12/J12</f>
        <v>1</v>
      </c>
    </row>
    <row r="13" spans="1:29" ht="16" x14ac:dyDescent="0.2">
      <c r="A13" s="387"/>
      <c r="B13" s="2029">
        <v>111</v>
      </c>
      <c r="C13" s="393"/>
      <c r="D13" s="394">
        <v>100</v>
      </c>
      <c r="E13" s="506"/>
      <c r="F13" s="132">
        <f>SUMIF(79:79,E13,80:80)-SUMIF(79:79,C13,80:80)+100</f>
        <v>100</v>
      </c>
      <c r="G13" s="629"/>
      <c r="H13" s="394">
        <f>SUMIF(79:79,G13,80:80)-SUMIF(79:79,C13,80:80)+100</f>
        <v>100</v>
      </c>
      <c r="I13" s="506"/>
      <c r="J13" s="394">
        <f>SUMIF(79:79,I13,80:80)-SUMIF(79:79,C13,80:80)+100</f>
        <v>100</v>
      </c>
      <c r="K13" s="627"/>
      <c r="L13" s="2900"/>
      <c r="M13" s="2894"/>
      <c r="N13" s="2894"/>
      <c r="O13" s="2952"/>
      <c r="P13" s="3664"/>
      <c r="Q13" s="1477">
        <f t="shared" si="6"/>
        <v>111</v>
      </c>
      <c r="R13" s="709" t="s">
        <v>17</v>
      </c>
      <c r="S13" s="710">
        <f t="shared" si="0"/>
        <v>100</v>
      </c>
      <c r="T13" s="709" t="s">
        <v>17</v>
      </c>
      <c r="U13" s="710">
        <f t="shared" si="1"/>
        <v>100</v>
      </c>
      <c r="V13" s="709" t="s">
        <v>17</v>
      </c>
      <c r="W13" s="710">
        <f t="shared" si="2"/>
        <v>100</v>
      </c>
      <c r="X13" s="711"/>
      <c r="Y13" s="3536"/>
      <c r="Z13" s="55">
        <f t="shared" si="7"/>
        <v>111</v>
      </c>
      <c r="AA13" s="712">
        <f t="shared" si="3"/>
        <v>1</v>
      </c>
      <c r="AB13" s="712">
        <f t="shared" si="4"/>
        <v>1</v>
      </c>
      <c r="AC13" s="712">
        <f t="shared" si="5"/>
        <v>1</v>
      </c>
    </row>
    <row r="14" spans="1:29" ht="17" thickBot="1" x14ac:dyDescent="0.25">
      <c r="A14" s="395"/>
      <c r="B14" s="2031">
        <v>111</v>
      </c>
      <c r="C14" s="396"/>
      <c r="D14" s="397">
        <v>100</v>
      </c>
      <c r="E14" s="506"/>
      <c r="F14" s="397">
        <f>SUMIF(81:81,E14,82:82)-SUMIF(81:81,C14,82:82)+100</f>
        <v>100</v>
      </c>
      <c r="G14" s="629"/>
      <c r="H14" s="397">
        <f>SUMIF(81:81,G14,82:82)-SUMIF(81:81,C14,82:82)+100</f>
        <v>100</v>
      </c>
      <c r="I14" s="506"/>
      <c r="J14" s="397">
        <f>SUMIF(81:81,I14,82:82)-SUMIF(81:81,C14,82:82)+100</f>
        <v>100</v>
      </c>
      <c r="K14" s="627"/>
      <c r="L14" s="2900"/>
      <c r="M14" s="2894"/>
      <c r="N14" s="2894"/>
      <c r="O14" s="2952"/>
      <c r="P14" s="3664"/>
      <c r="Q14" s="1477">
        <f t="shared" si="6"/>
        <v>111</v>
      </c>
      <c r="R14" s="709" t="s">
        <v>17</v>
      </c>
      <c r="S14" s="710">
        <f t="shared" si="0"/>
        <v>100</v>
      </c>
      <c r="T14" s="709" t="s">
        <v>17</v>
      </c>
      <c r="U14" s="710">
        <f t="shared" si="1"/>
        <v>100</v>
      </c>
      <c r="V14" s="709" t="s">
        <v>17</v>
      </c>
      <c r="W14" s="710">
        <f t="shared" si="2"/>
        <v>100</v>
      </c>
      <c r="X14" s="711"/>
      <c r="Y14" s="3536"/>
      <c r="Z14" s="55">
        <f t="shared" si="7"/>
        <v>111</v>
      </c>
      <c r="AA14" s="712">
        <f t="shared" si="3"/>
        <v>1</v>
      </c>
      <c r="AB14" s="712">
        <f t="shared" si="4"/>
        <v>1</v>
      </c>
      <c r="AC14" s="712">
        <f t="shared" si="5"/>
        <v>1</v>
      </c>
    </row>
    <row r="15" spans="1:29" ht="56" x14ac:dyDescent="0.2">
      <c r="A15" s="399" t="s">
        <v>2139</v>
      </c>
      <c r="B15" s="584"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900"/>
      <c r="M15" s="2894"/>
      <c r="N15" s="2894"/>
      <c r="O15" s="2952"/>
      <c r="P15" s="3666" t="s">
        <v>2140</v>
      </c>
      <c r="Q15" s="1486" t="str">
        <f t="shared" si="6"/>
        <v>产业集聚程度</v>
      </c>
      <c r="R15" s="713" t="s">
        <v>17</v>
      </c>
      <c r="S15" s="714">
        <f t="shared" si="0"/>
        <v>100</v>
      </c>
      <c r="T15" s="713" t="s">
        <v>17</v>
      </c>
      <c r="U15" s="714">
        <f t="shared" si="1"/>
        <v>100</v>
      </c>
      <c r="V15" s="713" t="s">
        <v>17</v>
      </c>
      <c r="W15" s="714">
        <f t="shared" si="2"/>
        <v>100</v>
      </c>
      <c r="X15" s="1489"/>
      <c r="Y15" s="3666" t="s">
        <v>2140</v>
      </c>
      <c r="Z15" s="1490" t="str">
        <f t="shared" si="7"/>
        <v>产业集聚程度</v>
      </c>
      <c r="AA15" s="1487">
        <f t="shared" si="3"/>
        <v>1</v>
      </c>
      <c r="AB15" s="1487">
        <f t="shared" si="4"/>
        <v>1</v>
      </c>
      <c r="AC15" s="1487">
        <f t="shared" si="5"/>
        <v>1</v>
      </c>
    </row>
    <row r="16" spans="1:29" ht="16" x14ac:dyDescent="0.2">
      <c r="A16" s="387"/>
      <c r="B16" s="585"/>
      <c r="C16" s="406"/>
      <c r="D16" s="407"/>
      <c r="E16" s="2040"/>
      <c r="F16" s="407"/>
      <c r="G16" s="2040"/>
      <c r="H16" s="409"/>
      <c r="I16" s="2040"/>
      <c r="J16" s="407"/>
      <c r="K16" s="627"/>
      <c r="L16" s="2900"/>
      <c r="M16" s="2894"/>
      <c r="N16" s="2894"/>
      <c r="O16" s="2952"/>
      <c r="P16" s="3667"/>
      <c r="Q16" s="1486"/>
      <c r="R16" s="713"/>
      <c r="S16" s="714"/>
      <c r="T16" s="713"/>
      <c r="U16" s="714"/>
      <c r="V16" s="713"/>
      <c r="W16" s="714"/>
      <c r="X16" s="1489"/>
      <c r="Y16" s="3667"/>
      <c r="Z16" s="1490"/>
      <c r="AA16" s="1487">
        <v>1</v>
      </c>
      <c r="AB16" s="1487">
        <v>1</v>
      </c>
      <c r="AC16" s="1487">
        <v>1</v>
      </c>
    </row>
    <row r="17" spans="1:29" ht="84" x14ac:dyDescent="0.2">
      <c r="A17" s="387"/>
      <c r="B17" s="586"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900"/>
      <c r="M17" s="2894"/>
      <c r="N17" s="2894"/>
      <c r="O17" s="2952"/>
      <c r="P17" s="3667"/>
      <c r="Q17" s="1486" t="str">
        <f>B17</f>
        <v>交通便捷度</v>
      </c>
      <c r="R17" s="713" t="s">
        <v>17</v>
      </c>
      <c r="S17" s="714">
        <f>F17</f>
        <v>100</v>
      </c>
      <c r="T17" s="713" t="s">
        <v>17</v>
      </c>
      <c r="U17" s="714">
        <f>H17</f>
        <v>100</v>
      </c>
      <c r="V17" s="713" t="s">
        <v>17</v>
      </c>
      <c r="W17" s="714">
        <f>J17</f>
        <v>100</v>
      </c>
      <c r="X17" s="1489"/>
      <c r="Y17" s="3667"/>
      <c r="Z17" s="1490" t="str">
        <f>Q17</f>
        <v>交通便捷度</v>
      </c>
      <c r="AA17" s="1487">
        <f t="shared" si="3"/>
        <v>1</v>
      </c>
      <c r="AB17" s="1487">
        <f t="shared" si="4"/>
        <v>1</v>
      </c>
      <c r="AC17" s="1487">
        <f t="shared" si="5"/>
        <v>1</v>
      </c>
    </row>
    <row r="18" spans="1:29" ht="16" x14ac:dyDescent="0.2">
      <c r="A18" s="387"/>
      <c r="B18" s="587"/>
      <c r="C18" s="406"/>
      <c r="D18" s="407"/>
      <c r="E18" s="2034"/>
      <c r="F18" s="407"/>
      <c r="G18" s="2034"/>
      <c r="H18" s="407"/>
      <c r="I18" s="2033"/>
      <c r="J18" s="407"/>
      <c r="K18" s="627"/>
      <c r="L18" s="2900"/>
      <c r="M18" s="2894"/>
      <c r="N18" s="2894"/>
      <c r="O18" s="2952"/>
      <c r="P18" s="3667"/>
      <c r="Q18" s="1486"/>
      <c r="R18" s="713"/>
      <c r="S18" s="714"/>
      <c r="T18" s="713"/>
      <c r="U18" s="714"/>
      <c r="V18" s="713"/>
      <c r="W18" s="714"/>
      <c r="X18" s="1489"/>
      <c r="Y18" s="3667"/>
      <c r="Z18" s="1490"/>
      <c r="AA18" s="1487">
        <v>1</v>
      </c>
      <c r="AB18" s="1487">
        <v>1</v>
      </c>
      <c r="AC18" s="1487">
        <v>1</v>
      </c>
    </row>
    <row r="19" spans="1:29" ht="16" x14ac:dyDescent="0.2">
      <c r="A19" s="387"/>
      <c r="B19" s="586"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900"/>
      <c r="M19" s="2894"/>
      <c r="N19" s="2894"/>
      <c r="O19" s="2952"/>
      <c r="P19" s="3667"/>
      <c r="Q19" s="1486" t="str">
        <f t="shared" ref="Q19:Q33" si="8">B19</f>
        <v>区域土地利用方向</v>
      </c>
      <c r="R19" s="713" t="s">
        <v>17</v>
      </c>
      <c r="S19" s="714">
        <f>F19</f>
        <v>100</v>
      </c>
      <c r="T19" s="713" t="s">
        <v>17</v>
      </c>
      <c r="U19" s="714">
        <f>H19</f>
        <v>100</v>
      </c>
      <c r="V19" s="713" t="s">
        <v>17</v>
      </c>
      <c r="W19" s="714">
        <f>J19</f>
        <v>100</v>
      </c>
      <c r="X19" s="1489"/>
      <c r="Y19" s="3667"/>
      <c r="Z19" s="1490" t="str">
        <f>Q19</f>
        <v>区域土地利用方向</v>
      </c>
      <c r="AA19" s="1487">
        <f t="shared" si="3"/>
        <v>1</v>
      </c>
      <c r="AB19" s="1487">
        <f t="shared" si="4"/>
        <v>1</v>
      </c>
      <c r="AC19" s="1487">
        <f t="shared" si="5"/>
        <v>1</v>
      </c>
    </row>
    <row r="20" spans="1:29" ht="16" x14ac:dyDescent="0.2">
      <c r="A20" s="364"/>
      <c r="B20" s="587"/>
      <c r="C20" s="406"/>
      <c r="D20" s="407"/>
      <c r="E20" s="2034"/>
      <c r="F20" s="407"/>
      <c r="G20" s="2034"/>
      <c r="H20" s="407"/>
      <c r="I20" s="2034"/>
      <c r="J20" s="407"/>
      <c r="K20" s="750"/>
      <c r="L20" s="2900"/>
      <c r="M20" s="2894"/>
      <c r="N20" s="2894"/>
      <c r="O20" s="2952"/>
      <c r="P20" s="3667"/>
      <c r="Q20" s="1486"/>
      <c r="R20" s="713"/>
      <c r="S20" s="714"/>
      <c r="T20" s="713"/>
      <c r="U20" s="714"/>
      <c r="V20" s="713"/>
      <c r="W20" s="714"/>
      <c r="X20" s="1489"/>
      <c r="Y20" s="3667"/>
      <c r="Z20" s="1490"/>
      <c r="AA20" s="1487"/>
      <c r="AB20" s="1487"/>
      <c r="AC20" s="1487"/>
    </row>
    <row r="21" spans="1:29" ht="70" x14ac:dyDescent="0.2">
      <c r="A21" s="364"/>
      <c r="B21" s="586"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900"/>
      <c r="M21" s="2894"/>
      <c r="N21" s="2894"/>
      <c r="O21" s="2952"/>
      <c r="P21" s="3667"/>
      <c r="Q21" s="1486" t="str">
        <f t="shared" si="8"/>
        <v>环境状况</v>
      </c>
      <c r="R21" s="713" t="s">
        <v>17</v>
      </c>
      <c r="S21" s="714">
        <f>F21</f>
        <v>100</v>
      </c>
      <c r="T21" s="713" t="s">
        <v>17</v>
      </c>
      <c r="U21" s="714">
        <f>H21</f>
        <v>100</v>
      </c>
      <c r="V21" s="713" t="s">
        <v>17</v>
      </c>
      <c r="W21" s="714">
        <f>J21</f>
        <v>100</v>
      </c>
      <c r="X21" s="1489"/>
      <c r="Y21" s="3667"/>
      <c r="Z21" s="1490" t="str">
        <f>Q21</f>
        <v>环境状况</v>
      </c>
      <c r="AA21" s="1487">
        <f t="shared" si="3"/>
        <v>1</v>
      </c>
      <c r="AB21" s="1487">
        <f t="shared" si="4"/>
        <v>1</v>
      </c>
      <c r="AC21" s="1487">
        <f t="shared" si="5"/>
        <v>1</v>
      </c>
    </row>
    <row r="22" spans="1:29" ht="16" x14ac:dyDescent="0.2">
      <c r="A22" s="364"/>
      <c r="B22" s="587"/>
      <c r="C22" s="406"/>
      <c r="D22" s="407"/>
      <c r="E22" s="2040"/>
      <c r="F22" s="407"/>
      <c r="G22" s="2040"/>
      <c r="H22" s="407"/>
      <c r="I22" s="406"/>
      <c r="J22" s="407"/>
      <c r="K22" s="627"/>
      <c r="L22" s="2900"/>
      <c r="M22" s="2894"/>
      <c r="N22" s="2894"/>
      <c r="O22" s="2952"/>
      <c r="P22" s="3667"/>
      <c r="Q22" s="1486"/>
      <c r="R22" s="713"/>
      <c r="S22" s="714"/>
      <c r="T22" s="713"/>
      <c r="U22" s="714"/>
      <c r="V22" s="713"/>
      <c r="W22" s="714"/>
      <c r="X22" s="1489"/>
      <c r="Y22" s="3667"/>
      <c r="Z22" s="1490"/>
      <c r="AA22" s="1487">
        <v>1</v>
      </c>
      <c r="AB22" s="1487">
        <v>1</v>
      </c>
      <c r="AC22" s="1487">
        <v>1</v>
      </c>
    </row>
    <row r="23" spans="1:29" s="113" customFormat="1" ht="42" x14ac:dyDescent="0.2">
      <c r="A23" s="604"/>
      <c r="B23" s="588"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895"/>
      <c r="M23" s="2896"/>
      <c r="N23" s="2896"/>
      <c r="O23" s="2950"/>
      <c r="P23" s="3667"/>
      <c r="Q23" s="1477" t="str">
        <f t="shared" si="8"/>
        <v>公共配套设施</v>
      </c>
      <c r="R23" s="709" t="s">
        <v>17</v>
      </c>
      <c r="S23" s="710">
        <f>F23</f>
        <v>100</v>
      </c>
      <c r="T23" s="709" t="s">
        <v>17</v>
      </c>
      <c r="U23" s="710">
        <f>H23</f>
        <v>100</v>
      </c>
      <c r="V23" s="709" t="s">
        <v>17</v>
      </c>
      <c r="W23" s="710">
        <f>J23</f>
        <v>100</v>
      </c>
      <c r="X23" s="711"/>
      <c r="Y23" s="3667"/>
      <c r="Z23" s="55" t="str">
        <f>Q23</f>
        <v>公共配套设施</v>
      </c>
      <c r="AA23" s="1487">
        <f>D23/F23</f>
        <v>1</v>
      </c>
      <c r="AB23" s="1487">
        <f>D23/H23</f>
        <v>1</v>
      </c>
      <c r="AC23" s="1487">
        <f>D23/J23</f>
        <v>1</v>
      </c>
    </row>
    <row r="24" spans="1:29" s="113" customFormat="1" ht="16" x14ac:dyDescent="0.2">
      <c r="A24" s="604"/>
      <c r="B24" s="587"/>
      <c r="C24" s="2114"/>
      <c r="D24" s="407"/>
      <c r="E24" s="2040"/>
      <c r="F24" s="407"/>
      <c r="G24" s="2040"/>
      <c r="H24" s="407"/>
      <c r="I24" s="406"/>
      <c r="J24" s="407"/>
      <c r="K24" s="627"/>
      <c r="L24" s="2895"/>
      <c r="M24" s="2896"/>
      <c r="N24" s="2896"/>
      <c r="O24" s="2950"/>
      <c r="P24" s="3667"/>
      <c r="Q24" s="1477"/>
      <c r="R24" s="709"/>
      <c r="S24" s="710"/>
      <c r="T24" s="709"/>
      <c r="U24" s="710"/>
      <c r="V24" s="709"/>
      <c r="W24" s="710"/>
      <c r="X24" s="711"/>
      <c r="Y24" s="3667"/>
      <c r="Z24" s="55"/>
      <c r="AA24" s="712">
        <v>1</v>
      </c>
      <c r="AB24" s="712">
        <v>1</v>
      </c>
      <c r="AC24" s="712">
        <v>1</v>
      </c>
    </row>
    <row r="25" spans="1:29" s="113" customFormat="1" ht="28" x14ac:dyDescent="0.2">
      <c r="A25" s="604"/>
      <c r="B25" s="588"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895"/>
      <c r="M25" s="2896"/>
      <c r="N25" s="2896"/>
      <c r="O25" s="2950"/>
      <c r="P25" s="3667"/>
      <c r="Q25" s="1477" t="str">
        <f t="shared" ref="Q25" si="9">B25</f>
        <v>基础设施水平</v>
      </c>
      <c r="R25" s="709" t="s">
        <v>17</v>
      </c>
      <c r="S25" s="710">
        <f>F25</f>
        <v>100</v>
      </c>
      <c r="T25" s="709" t="s">
        <v>17</v>
      </c>
      <c r="U25" s="710">
        <f>H25</f>
        <v>100</v>
      </c>
      <c r="V25" s="709" t="s">
        <v>17</v>
      </c>
      <c r="W25" s="710">
        <f>J25</f>
        <v>100</v>
      </c>
      <c r="X25" s="711"/>
      <c r="Y25" s="3667"/>
      <c r="Z25" s="55" t="str">
        <f>Q25</f>
        <v>基础设施水平</v>
      </c>
      <c r="AA25" s="1487">
        <f>D25/F25</f>
        <v>1</v>
      </c>
      <c r="AB25" s="1487">
        <f>D25/H25</f>
        <v>1</v>
      </c>
      <c r="AC25" s="1487">
        <f>D25/J25</f>
        <v>1</v>
      </c>
    </row>
    <row r="26" spans="1:29" s="113" customFormat="1" ht="16" x14ac:dyDescent="0.2">
      <c r="A26" s="604"/>
      <c r="B26" s="587"/>
      <c r="C26" s="2114"/>
      <c r="D26" s="407"/>
      <c r="E26" s="2115"/>
      <c r="F26" s="407"/>
      <c r="G26" s="2115"/>
      <c r="H26" s="407"/>
      <c r="I26" s="2115"/>
      <c r="J26" s="407"/>
      <c r="K26" s="627"/>
      <c r="L26" s="2895"/>
      <c r="M26" s="2896"/>
      <c r="N26" s="2896"/>
      <c r="O26" s="2950"/>
      <c r="P26" s="3667"/>
      <c r="Q26" s="1477"/>
      <c r="R26" s="709"/>
      <c r="S26" s="710"/>
      <c r="T26" s="709"/>
      <c r="U26" s="710"/>
      <c r="V26" s="709"/>
      <c r="W26" s="710"/>
      <c r="X26" s="711"/>
      <c r="Y26" s="3667"/>
      <c r="Z26" s="55"/>
      <c r="AA26" s="712">
        <v>1</v>
      </c>
      <c r="AB26" s="712">
        <v>1</v>
      </c>
      <c r="AC26" s="712">
        <v>1</v>
      </c>
    </row>
    <row r="27" spans="1:29" ht="16" x14ac:dyDescent="0.2">
      <c r="A27" s="387"/>
      <c r="B27" s="587" t="s">
        <v>2236</v>
      </c>
      <c r="C27" s="573"/>
      <c r="D27" s="394">
        <v>100</v>
      </c>
      <c r="E27" s="589"/>
      <c r="F27" s="394">
        <f>SUMIF(95:95,E27,96:96)-SUMIF(95:95,C27,96:96)+100</f>
        <v>100</v>
      </c>
      <c r="G27" s="589"/>
      <c r="H27" s="394">
        <f>SUMIF(95:95,G27,96:96)-SUMIF(95:95,C27,96:96)+100</f>
        <v>100</v>
      </c>
      <c r="I27" s="589"/>
      <c r="J27" s="394">
        <f>SUMIF(95:95,I27,96:96)-SUMIF(95:95,C27,96:96)+100</f>
        <v>100</v>
      </c>
      <c r="K27" s="628"/>
      <c r="L27" s="2900"/>
      <c r="M27" s="2894"/>
      <c r="N27" s="2894"/>
      <c r="O27" s="2952"/>
      <c r="P27" s="3667"/>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667"/>
      <c r="Z27" s="1490" t="str">
        <f t="shared" ref="Z27:Z40" si="13">Q27</f>
        <v>临街状况</v>
      </c>
      <c r="AA27" s="1487">
        <f t="shared" si="3"/>
        <v>1</v>
      </c>
      <c r="AB27" s="1487">
        <f t="shared" si="4"/>
        <v>1</v>
      </c>
      <c r="AC27" s="1487">
        <f t="shared" si="5"/>
        <v>1</v>
      </c>
    </row>
    <row r="28" spans="1:29" ht="28" x14ac:dyDescent="0.2">
      <c r="A28" s="387"/>
      <c r="B28" s="588"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900"/>
      <c r="M28" s="2894"/>
      <c r="N28" s="2894"/>
      <c r="O28" s="2952"/>
      <c r="P28" s="3667"/>
      <c r="Q28" s="1486" t="str">
        <f t="shared" si="8"/>
        <v>毗邻道路的类型与等级</v>
      </c>
      <c r="R28" s="713" t="s">
        <v>17</v>
      </c>
      <c r="S28" s="714">
        <f t="shared" si="10"/>
        <v>100</v>
      </c>
      <c r="T28" s="713" t="s">
        <v>17</v>
      </c>
      <c r="U28" s="714">
        <f t="shared" si="11"/>
        <v>100</v>
      </c>
      <c r="V28" s="713" t="s">
        <v>17</v>
      </c>
      <c r="W28" s="714">
        <f t="shared" si="12"/>
        <v>100</v>
      </c>
      <c r="X28" s="1489"/>
      <c r="Y28" s="3667"/>
      <c r="Z28" s="1490" t="str">
        <f t="shared" si="13"/>
        <v>毗邻道路的类型与等级</v>
      </c>
      <c r="AA28" s="1487">
        <f t="shared" si="3"/>
        <v>1</v>
      </c>
      <c r="AB28" s="1487">
        <f t="shared" si="4"/>
        <v>1</v>
      </c>
      <c r="AC28" s="1487">
        <f t="shared" si="5"/>
        <v>1</v>
      </c>
    </row>
    <row r="29" spans="1:29" ht="16" x14ac:dyDescent="0.2">
      <c r="A29" s="387"/>
      <c r="B29" s="587"/>
      <c r="C29" s="406"/>
      <c r="D29" s="407"/>
      <c r="E29" s="2040"/>
      <c r="F29" s="407"/>
      <c r="G29" s="2040"/>
      <c r="H29" s="407"/>
      <c r="I29" s="2040"/>
      <c r="J29" s="407"/>
      <c r="K29" s="570"/>
      <c r="L29" s="2900"/>
      <c r="M29" s="2894"/>
      <c r="N29" s="2894"/>
      <c r="O29" s="2952"/>
      <c r="P29" s="3667"/>
      <c r="Q29" s="1486"/>
      <c r="R29" s="713"/>
      <c r="S29" s="714"/>
      <c r="T29" s="713"/>
      <c r="U29" s="714"/>
      <c r="V29" s="713"/>
      <c r="W29" s="714"/>
      <c r="X29" s="1489"/>
      <c r="Y29" s="3667"/>
      <c r="Z29" s="1490"/>
      <c r="AA29" s="1487">
        <v>1</v>
      </c>
      <c r="AB29" s="1487">
        <v>1</v>
      </c>
      <c r="AC29" s="1487">
        <v>1</v>
      </c>
    </row>
    <row r="30" spans="1:29" ht="16" x14ac:dyDescent="0.2">
      <c r="A30" s="387"/>
      <c r="B30" s="609" t="s">
        <v>2330</v>
      </c>
      <c r="C30" s="1250">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900"/>
      <c r="M30" s="2894"/>
      <c r="N30" s="2894"/>
      <c r="O30" s="2952"/>
      <c r="P30" s="3667"/>
      <c r="Q30" s="1486" t="str">
        <f t="shared" si="8"/>
        <v>土地级别</v>
      </c>
      <c r="R30" s="713" t="s">
        <v>17</v>
      </c>
      <c r="S30" s="714">
        <f t="shared" si="10"/>
        <v>100</v>
      </c>
      <c r="T30" s="713" t="s">
        <v>17</v>
      </c>
      <c r="U30" s="714">
        <f t="shared" si="11"/>
        <v>100</v>
      </c>
      <c r="V30" s="713" t="s">
        <v>17</v>
      </c>
      <c r="W30" s="714">
        <f t="shared" si="12"/>
        <v>100</v>
      </c>
      <c r="X30" s="1489"/>
      <c r="Y30" s="3667"/>
      <c r="Z30" s="1490" t="str">
        <f t="shared" si="13"/>
        <v>土地级别</v>
      </c>
      <c r="AA30" s="1487">
        <f t="shared" si="3"/>
        <v>1</v>
      </c>
      <c r="AB30" s="1487">
        <f t="shared" si="4"/>
        <v>1</v>
      </c>
      <c r="AC30" s="1487">
        <f t="shared" si="5"/>
        <v>1</v>
      </c>
    </row>
    <row r="31" spans="1:29" ht="16" x14ac:dyDescent="0.2">
      <c r="A31" s="364"/>
      <c r="B31" s="2102">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667"/>
      <c r="Q31" s="1486">
        <f t="shared" si="8"/>
        <v>111</v>
      </c>
      <c r="R31" s="713" t="s">
        <v>17</v>
      </c>
      <c r="S31" s="714">
        <f t="shared" si="10"/>
        <v>100</v>
      </c>
      <c r="T31" s="713" t="s">
        <v>17</v>
      </c>
      <c r="U31" s="714">
        <f t="shared" si="11"/>
        <v>100</v>
      </c>
      <c r="V31" s="713" t="s">
        <v>17</v>
      </c>
      <c r="W31" s="714">
        <f t="shared" si="12"/>
        <v>100</v>
      </c>
      <c r="X31" s="1489"/>
      <c r="Y31" s="3667"/>
      <c r="Z31" s="1490">
        <f t="shared" si="13"/>
        <v>111</v>
      </c>
      <c r="AA31" s="1487">
        <f t="shared" si="3"/>
        <v>1</v>
      </c>
      <c r="AB31" s="1487">
        <f t="shared" si="4"/>
        <v>1</v>
      </c>
      <c r="AC31" s="1487">
        <f t="shared" si="5"/>
        <v>1</v>
      </c>
    </row>
    <row r="32" spans="1:29" ht="16" x14ac:dyDescent="0.2">
      <c r="A32" s="630"/>
      <c r="B32" s="2128">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900"/>
      <c r="M32" s="2894"/>
      <c r="N32" s="2894"/>
      <c r="O32" s="2952"/>
      <c r="P32" s="3722" t="s">
        <v>2145</v>
      </c>
      <c r="Q32" s="1486">
        <f t="shared" si="8"/>
        <v>111</v>
      </c>
      <c r="R32" s="713" t="s">
        <v>17</v>
      </c>
      <c r="S32" s="714">
        <f t="shared" si="10"/>
        <v>100</v>
      </c>
      <c r="T32" s="713" t="s">
        <v>17</v>
      </c>
      <c r="U32" s="714">
        <f t="shared" si="11"/>
        <v>100</v>
      </c>
      <c r="V32" s="713" t="s">
        <v>17</v>
      </c>
      <c r="W32" s="714">
        <f t="shared" si="12"/>
        <v>100</v>
      </c>
      <c r="X32" s="1489"/>
      <c r="Y32" s="3671" t="s">
        <v>2145</v>
      </c>
      <c r="Z32" s="1490">
        <f t="shared" si="13"/>
        <v>111</v>
      </c>
      <c r="AA32" s="1487">
        <f t="shared" si="3"/>
        <v>1</v>
      </c>
      <c r="AB32" s="1487">
        <f t="shared" si="4"/>
        <v>1</v>
      </c>
      <c r="AC32" s="1487">
        <f t="shared" si="5"/>
        <v>1</v>
      </c>
    </row>
    <row r="33" spans="1:31" s="430" customFormat="1" ht="17" thickBot="1" x14ac:dyDescent="0.25">
      <c r="A33" s="631"/>
      <c r="B33" s="2129">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899"/>
      <c r="M33" s="2901"/>
      <c r="N33" s="2901"/>
      <c r="O33" s="2953"/>
      <c r="P33" s="3671"/>
      <c r="Q33" s="1486">
        <f t="shared" si="8"/>
        <v>111</v>
      </c>
      <c r="R33" s="716" t="s">
        <v>17</v>
      </c>
      <c r="S33" s="717">
        <f t="shared" si="10"/>
        <v>100</v>
      </c>
      <c r="T33" s="716" t="s">
        <v>17</v>
      </c>
      <c r="U33" s="717">
        <f t="shared" si="11"/>
        <v>100</v>
      </c>
      <c r="V33" s="716" t="s">
        <v>17</v>
      </c>
      <c r="W33" s="717">
        <f t="shared" si="12"/>
        <v>100</v>
      </c>
      <c r="X33" s="718"/>
      <c r="Y33" s="3671"/>
      <c r="Z33" s="719">
        <f t="shared" si="13"/>
        <v>111</v>
      </c>
      <c r="AA33" s="1487">
        <f t="shared" si="3"/>
        <v>1</v>
      </c>
      <c r="AB33" s="1487">
        <f t="shared" si="4"/>
        <v>1</v>
      </c>
      <c r="AC33" s="1487">
        <f t="shared" si="5"/>
        <v>1</v>
      </c>
    </row>
    <row r="34" spans="1:31" ht="16" x14ac:dyDescent="0.2">
      <c r="A34" s="399" t="s">
        <v>2143</v>
      </c>
      <c r="B34" s="415" t="s">
        <v>2331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900"/>
      <c r="M34" s="2894"/>
      <c r="N34" s="2894"/>
      <c r="O34" s="2952"/>
      <c r="P34" s="3671"/>
      <c r="Q34" s="1486" t="str">
        <f>B34</f>
        <v>宗地面积</v>
      </c>
      <c r="R34" s="713" t="s">
        <v>17</v>
      </c>
      <c r="S34" s="714" t="e">
        <f t="shared" si="10"/>
        <v>#N/A</v>
      </c>
      <c r="T34" s="713" t="s">
        <v>17</v>
      </c>
      <c r="U34" s="714" t="e">
        <f t="shared" si="11"/>
        <v>#N/A</v>
      </c>
      <c r="V34" s="713" t="s">
        <v>17</v>
      </c>
      <c r="W34" s="714" t="e">
        <f t="shared" si="12"/>
        <v>#N/A</v>
      </c>
      <c r="X34" s="1489"/>
      <c r="Y34" s="3671"/>
      <c r="Z34" s="1490" t="str">
        <f t="shared" si="13"/>
        <v>宗地面积</v>
      </c>
      <c r="AA34" s="1487" t="e">
        <f t="shared" si="3"/>
        <v>#N/A</v>
      </c>
      <c r="AB34" s="1487" t="e">
        <f t="shared" si="4"/>
        <v>#N/A</v>
      </c>
      <c r="AC34" s="1487" t="e">
        <f t="shared" si="5"/>
        <v>#N/A</v>
      </c>
    </row>
    <row r="35" spans="1:31" ht="16" x14ac:dyDescent="0.2">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671"/>
      <c r="Q35" s="1486" t="str">
        <f t="shared" ref="Q35:Q40" si="14">B35</f>
        <v>宗地形状</v>
      </c>
      <c r="R35" s="713" t="s">
        <v>17</v>
      </c>
      <c r="S35" s="714">
        <f t="shared" si="10"/>
        <v>100</v>
      </c>
      <c r="T35" s="713" t="s">
        <v>17</v>
      </c>
      <c r="U35" s="714">
        <f t="shared" si="11"/>
        <v>100</v>
      </c>
      <c r="V35" s="713" t="s">
        <v>17</v>
      </c>
      <c r="W35" s="714">
        <f t="shared" si="12"/>
        <v>100</v>
      </c>
      <c r="X35" s="1489"/>
      <c r="Y35" s="3671"/>
      <c r="Z35" s="1490" t="str">
        <f t="shared" si="13"/>
        <v>宗地形状</v>
      </c>
      <c r="AA35" s="1487">
        <f t="shared" si="3"/>
        <v>1</v>
      </c>
      <c r="AB35" s="1487">
        <f t="shared" si="4"/>
        <v>1</v>
      </c>
      <c r="AC35" s="1487">
        <f t="shared" si="5"/>
        <v>1</v>
      </c>
    </row>
    <row r="36" spans="1:31" s="113" customFormat="1" ht="16" x14ac:dyDescent="0.2">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671"/>
      <c r="Q36" s="1486" t="str">
        <f t="shared" si="14"/>
        <v>宗地开发程度</v>
      </c>
      <c r="R36" s="709" t="s">
        <v>17</v>
      </c>
      <c r="S36" s="710">
        <f t="shared" si="10"/>
        <v>100</v>
      </c>
      <c r="T36" s="709" t="s">
        <v>17</v>
      </c>
      <c r="U36" s="710">
        <f t="shared" si="11"/>
        <v>100</v>
      </c>
      <c r="V36" s="709" t="s">
        <v>17</v>
      </c>
      <c r="W36" s="710">
        <f t="shared" si="12"/>
        <v>100</v>
      </c>
      <c r="X36" s="711"/>
      <c r="Y36" s="3671"/>
      <c r="Z36" s="55" t="str">
        <f t="shared" si="13"/>
        <v>宗地开发程度</v>
      </c>
      <c r="AA36" s="712">
        <f t="shared" si="3"/>
        <v>1</v>
      </c>
      <c r="AB36" s="712">
        <f t="shared" si="4"/>
        <v>1</v>
      </c>
      <c r="AC36" s="712">
        <f t="shared" si="5"/>
        <v>1</v>
      </c>
    </row>
    <row r="37" spans="1:31" ht="16" x14ac:dyDescent="0.2">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671" t="s">
        <v>2145</v>
      </c>
      <c r="Q37" s="1486" t="str">
        <f t="shared" si="14"/>
        <v>工程地质条件</v>
      </c>
      <c r="R37" s="713" t="s">
        <v>17</v>
      </c>
      <c r="S37" s="714">
        <f t="shared" si="10"/>
        <v>100</v>
      </c>
      <c r="T37" s="713" t="s">
        <v>17</v>
      </c>
      <c r="U37" s="714">
        <f t="shared" si="11"/>
        <v>100</v>
      </c>
      <c r="V37" s="713" t="s">
        <v>17</v>
      </c>
      <c r="W37" s="714">
        <f t="shared" si="12"/>
        <v>100</v>
      </c>
      <c r="X37" s="1489"/>
      <c r="Y37" s="3671" t="s">
        <v>2145</v>
      </c>
      <c r="Z37" s="1490" t="str">
        <f t="shared" si="13"/>
        <v>工程地质条件</v>
      </c>
      <c r="AA37" s="1487">
        <f t="shared" si="3"/>
        <v>1</v>
      </c>
      <c r="AB37" s="1487">
        <f t="shared" si="4"/>
        <v>1</v>
      </c>
      <c r="AC37" s="1487">
        <f t="shared" si="5"/>
        <v>1</v>
      </c>
    </row>
    <row r="38" spans="1:31" ht="16" x14ac:dyDescent="0.2">
      <c r="A38" s="431"/>
      <c r="B38" s="1248">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900"/>
      <c r="M38" s="2894"/>
      <c r="N38" s="2894"/>
      <c r="O38" s="2952"/>
      <c r="P38" s="3671"/>
      <c r="Q38" s="1486">
        <f t="shared" si="14"/>
        <v>111</v>
      </c>
      <c r="R38" s="713" t="s">
        <v>17</v>
      </c>
      <c r="S38" s="714">
        <f t="shared" si="10"/>
        <v>100</v>
      </c>
      <c r="T38" s="713" t="s">
        <v>17</v>
      </c>
      <c r="U38" s="714">
        <f t="shared" si="11"/>
        <v>100</v>
      </c>
      <c r="V38" s="713" t="s">
        <v>17</v>
      </c>
      <c r="W38" s="714">
        <f t="shared" si="12"/>
        <v>100</v>
      </c>
      <c r="X38" s="1489"/>
      <c r="Y38" s="3671"/>
      <c r="Z38" s="1490">
        <f t="shared" si="13"/>
        <v>111</v>
      </c>
      <c r="AA38" s="1487">
        <f t="shared" si="3"/>
        <v>1</v>
      </c>
      <c r="AB38" s="1487">
        <f t="shared" si="4"/>
        <v>1</v>
      </c>
      <c r="AC38" s="1487">
        <f t="shared" si="5"/>
        <v>1</v>
      </c>
    </row>
    <row r="39" spans="1:31" ht="16" x14ac:dyDescent="0.2">
      <c r="A39" s="431"/>
      <c r="B39" s="1248">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900"/>
      <c r="M39" s="2894"/>
      <c r="N39" s="2894"/>
      <c r="O39" s="2952"/>
      <c r="P39" s="3671"/>
      <c r="Q39" s="1486">
        <f t="shared" si="14"/>
        <v>111</v>
      </c>
      <c r="R39" s="713" t="s">
        <v>17</v>
      </c>
      <c r="S39" s="714">
        <f t="shared" si="10"/>
        <v>100</v>
      </c>
      <c r="T39" s="713" t="s">
        <v>17</v>
      </c>
      <c r="U39" s="714">
        <f t="shared" si="11"/>
        <v>100</v>
      </c>
      <c r="V39" s="713" t="s">
        <v>17</v>
      </c>
      <c r="W39" s="714">
        <f t="shared" si="12"/>
        <v>100</v>
      </c>
      <c r="X39" s="1489"/>
      <c r="Y39" s="3671"/>
      <c r="Z39" s="1490">
        <f t="shared" si="13"/>
        <v>111</v>
      </c>
      <c r="AA39" s="1487">
        <f t="shared" si="3"/>
        <v>1</v>
      </c>
      <c r="AB39" s="1487">
        <f t="shared" si="4"/>
        <v>1</v>
      </c>
      <c r="AC39" s="1487">
        <f t="shared" si="5"/>
        <v>1</v>
      </c>
    </row>
    <row r="40" spans="1:31" s="430" customFormat="1" ht="17" thickBot="1" x14ac:dyDescent="0.25">
      <c r="A40" s="427"/>
      <c r="B40" s="1248">
        <v>111</v>
      </c>
      <c r="C40" s="2117"/>
      <c r="D40" s="133">
        <v>100</v>
      </c>
      <c r="E40" s="629"/>
      <c r="F40" s="397">
        <f>SUMIF(120:120,E40,121:121)-SUMIF(120:120,C40,121:121)+100</f>
        <v>100</v>
      </c>
      <c r="G40" s="629"/>
      <c r="H40" s="397">
        <f>SUMIF(120:120,G40,121:121)-SUMIF(120:120,C40,121:121)+100</f>
        <v>100</v>
      </c>
      <c r="I40" s="506"/>
      <c r="J40" s="397">
        <f>SUMIF(120:120,I40,121:121)-SUMIF(120:120,C40,121:121)+100</f>
        <v>100</v>
      </c>
      <c r="K40" s="636"/>
      <c r="L40" s="2899"/>
      <c r="M40" s="2901"/>
      <c r="N40" s="2901"/>
      <c r="O40" s="2953"/>
      <c r="P40" s="3671"/>
      <c r="Q40" s="1486">
        <f t="shared" si="14"/>
        <v>111</v>
      </c>
      <c r="R40" s="716" t="s">
        <v>17</v>
      </c>
      <c r="S40" s="717">
        <f t="shared" si="10"/>
        <v>100</v>
      </c>
      <c r="T40" s="716" t="s">
        <v>17</v>
      </c>
      <c r="U40" s="717">
        <f t="shared" si="11"/>
        <v>100</v>
      </c>
      <c r="V40" s="716" t="s">
        <v>17</v>
      </c>
      <c r="W40" s="717">
        <f t="shared" si="12"/>
        <v>100</v>
      </c>
      <c r="X40" s="718"/>
      <c r="Y40" s="3671"/>
      <c r="Z40" s="719">
        <f t="shared" si="13"/>
        <v>111</v>
      </c>
      <c r="AA40" s="1487">
        <f t="shared" si="3"/>
        <v>1</v>
      </c>
      <c r="AB40" s="1487">
        <f t="shared" si="4"/>
        <v>1</v>
      </c>
      <c r="AC40" s="1487">
        <f t="shared" si="5"/>
        <v>1</v>
      </c>
    </row>
    <row r="41" spans="1:31" x14ac:dyDescent="0.2">
      <c r="A41" s="438" t="s">
        <v>2300</v>
      </c>
      <c r="B41" s="2118" t="s">
        <v>2379</v>
      </c>
      <c r="C41" s="637" t="s">
        <v>1</v>
      </c>
      <c r="D41" s="440"/>
      <c r="E41" s="441"/>
      <c r="F41" s="442"/>
      <c r="G41" s="443"/>
      <c r="H41" s="444"/>
      <c r="I41" s="441"/>
      <c r="J41" s="444"/>
      <c r="K41" s="722"/>
      <c r="L41" s="2902"/>
      <c r="M41" s="2894"/>
      <c r="N41" s="2894"/>
      <c r="O41" s="2903"/>
      <c r="P41" s="3664" t="str">
        <f>A41</f>
        <v>成交单价</v>
      </c>
      <c r="Q41" s="3664"/>
      <c r="R41" s="3695">
        <f>E41</f>
        <v>0</v>
      </c>
      <c r="S41" s="3695"/>
      <c r="T41" s="3695">
        <f>G41</f>
        <v>0</v>
      </c>
      <c r="U41" s="3695"/>
      <c r="V41" s="3695">
        <f>I41</f>
        <v>0</v>
      </c>
      <c r="W41" s="3695"/>
      <c r="X41" s="698"/>
      <c r="Y41" s="720"/>
      <c r="Z41" s="698"/>
      <c r="AA41" s="698"/>
      <c r="AB41" s="698"/>
      <c r="AC41" s="698"/>
    </row>
    <row r="42" spans="1:31" ht="15" thickBot="1" x14ac:dyDescent="0.25">
      <c r="A42" s="445" t="s">
        <v>2249</v>
      </c>
      <c r="B42" s="638"/>
      <c r="C42" s="448" t="e">
        <f>R43</f>
        <v>#DIV/0!</v>
      </c>
      <c r="D42" s="2488" t="s">
        <v>2639</v>
      </c>
      <c r="E42" s="448" t="e">
        <f>R42</f>
        <v>#DIV/0!</v>
      </c>
      <c r="F42" s="2489"/>
      <c r="G42" s="447" t="e">
        <f>T42</f>
        <v>#DIV/0!</v>
      </c>
      <c r="H42" s="2489"/>
      <c r="I42" s="448" t="e">
        <f>V42</f>
        <v>#DIV/0!</v>
      </c>
      <c r="J42" s="2489"/>
      <c r="K42" s="2491">
        <f>F42+H42+J42</f>
        <v>0</v>
      </c>
      <c r="L42" s="2902"/>
      <c r="M42" s="2894"/>
      <c r="N42" s="2894"/>
      <c r="O42" s="2903"/>
      <c r="P42" s="3664" t="str">
        <f>A42</f>
        <v>比较价值（元/平方米）</v>
      </c>
      <c r="Q42" s="3664"/>
      <c r="R42" s="3724" t="e">
        <f>ROUND(PRODUCT(R41,AA7:AA40),0)</f>
        <v>#DIV/0!</v>
      </c>
      <c r="S42" s="3724"/>
      <c r="T42" s="3724" t="e">
        <f>ROUND(PRODUCT(T41,AB7:AB40),0)</f>
        <v>#DIV/0!</v>
      </c>
      <c r="U42" s="3724"/>
      <c r="V42" s="3724" t="e">
        <f>ROUND(PRODUCT(V41,AC7:AC40),0)</f>
        <v>#DIV/0!</v>
      </c>
      <c r="W42" s="3724"/>
      <c r="X42" s="698"/>
      <c r="Y42" s="698"/>
      <c r="Z42" s="698"/>
      <c r="AA42" s="698"/>
      <c r="AB42" s="698"/>
      <c r="AC42" s="698"/>
    </row>
    <row r="43" spans="1:31" ht="15" thickBot="1" x14ac:dyDescent="0.25">
      <c r="A43" s="449" t="s">
        <v>2250</v>
      </c>
      <c r="B43" s="450"/>
      <c r="C43" s="451" t="e">
        <f>R43</f>
        <v>#DIV/0!</v>
      </c>
      <c r="D43" s="451"/>
      <c r="E43" s="451"/>
      <c r="F43" s="451"/>
      <c r="G43" s="451"/>
      <c r="H43" s="451"/>
      <c r="I43" s="451"/>
      <c r="J43" s="451"/>
      <c r="K43" s="723"/>
      <c r="L43" s="2902"/>
      <c r="M43" s="2894"/>
      <c r="N43" s="2894"/>
      <c r="O43" s="2903"/>
      <c r="P43" s="3661" t="str">
        <f>A43</f>
        <v>估价对象XX用房的比较价值（楼面单价，元/平方米）</v>
      </c>
      <c r="Q43" s="3662"/>
      <c r="R43" s="3725" t="e">
        <f>ROUND(IF(D42="简单平均",AVERAGE(R42:W42),R42*F42+T42*H42+V42*J42),0)</f>
        <v>#DIV/0!</v>
      </c>
      <c r="S43" s="3725"/>
      <c r="T43" s="3725"/>
      <c r="U43" s="3725"/>
      <c r="V43" s="3725"/>
      <c r="W43" s="3725"/>
      <c r="X43" s="698"/>
      <c r="Y43" s="698"/>
      <c r="Z43" s="698"/>
      <c r="AA43" s="698"/>
      <c r="AB43" s="698"/>
      <c r="AC43" s="698"/>
    </row>
    <row r="44" spans="1:31" x14ac:dyDescent="0.2">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x14ac:dyDescent="0.2">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x14ac:dyDescent="0.2">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x14ac:dyDescent="0.2">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x14ac:dyDescent="0.2">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x14ac:dyDescent="0.25">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8" x14ac:dyDescent="0.2">
      <c r="A50" s="639" t="s">
        <v>2338</v>
      </c>
      <c r="B50" s="640" t="s">
        <v>2339</v>
      </c>
      <c r="C50" s="2119" t="s">
        <v>2340</v>
      </c>
      <c r="D50" s="2120" t="s">
        <v>2341</v>
      </c>
      <c r="E50" s="641" t="s">
        <v>2342</v>
      </c>
      <c r="F50" s="642" t="s">
        <v>2343</v>
      </c>
      <c r="G50" s="3679" t="s">
        <v>2344</v>
      </c>
      <c r="H50" s="3726"/>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x14ac:dyDescent="0.15">
      <c r="A51" s="643" t="s">
        <v>2347</v>
      </c>
      <c r="B51" s="644" t="e">
        <f>C43</f>
        <v>#DIV/0!</v>
      </c>
      <c r="C51" s="645">
        <v>1</v>
      </c>
      <c r="D51" s="1055">
        <v>1</v>
      </c>
      <c r="E51" s="645">
        <f>'数据-汇总表'!E8+'数据-汇总表'!E9</f>
        <v>58.81</v>
      </c>
      <c r="F51" s="646" t="e">
        <f t="shared" ref="F51:F60" si="15">ROUND(B51*E51/10000,0)</f>
        <v>#DIV/0!</v>
      </c>
      <c r="G51" s="3675"/>
      <c r="H51" s="3664"/>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x14ac:dyDescent="0.15">
      <c r="A52" s="648" t="s">
        <v>2348</v>
      </c>
      <c r="B52" s="224" t="e">
        <f>ROUND($C$43*C52*D52,0)</f>
        <v>#DIV/0!</v>
      </c>
      <c r="C52" s="176">
        <f t="shared" ref="C52:C60" si="16">IF($C$50="北京市系数",I52,J52)</f>
        <v>0.7</v>
      </c>
      <c r="D52" s="1056">
        <v>0.25</v>
      </c>
      <c r="E52" s="649"/>
      <c r="F52" s="646" t="e">
        <f t="shared" si="15"/>
        <v>#DIV/0!</v>
      </c>
      <c r="G52" s="3227" t="s">
        <v>2349</v>
      </c>
      <c r="H52" s="998" t="str">
        <f>项目基本情况!B37</f>
        <v>二级</v>
      </c>
      <c r="I52" s="859">
        <f>SUMIF(修正!A57:A68,H52,修正!B57:B68)</f>
        <v>0.7</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x14ac:dyDescent="0.15">
      <c r="A53" s="648" t="s">
        <v>2350</v>
      </c>
      <c r="B53" s="224" t="e">
        <f t="shared" ref="B53:B60" si="17">ROUND($C$43*C53*D53,0)</f>
        <v>#DIV/0!</v>
      </c>
      <c r="C53" s="176">
        <f t="shared" si="16"/>
        <v>0.4</v>
      </c>
      <c r="D53" s="1056">
        <v>0.25</v>
      </c>
      <c r="E53" s="649"/>
      <c r="F53" s="646" t="e">
        <f t="shared" si="15"/>
        <v>#DIV/0!</v>
      </c>
      <c r="G53" s="3228"/>
      <c r="H53" s="998" t="str">
        <f>项目基本情况!B37</f>
        <v>二级</v>
      </c>
      <c r="I53" s="859">
        <f>SUMIF(修正!A57:A68,H53,修正!C57:C68)</f>
        <v>0.4</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x14ac:dyDescent="0.15">
      <c r="A54" s="648" t="s">
        <v>2351</v>
      </c>
      <c r="B54" s="224" t="e">
        <f t="shared" si="17"/>
        <v>#DIV/0!</v>
      </c>
      <c r="C54" s="176">
        <f t="shared" si="16"/>
        <v>0.3</v>
      </c>
      <c r="D54" s="1056">
        <v>0.25</v>
      </c>
      <c r="E54" s="649"/>
      <c r="F54" s="646" t="e">
        <f t="shared" si="15"/>
        <v>#DIV/0!</v>
      </c>
      <c r="G54" s="3228"/>
      <c r="H54" s="998" t="str">
        <f>项目基本情况!B37</f>
        <v>二级</v>
      </c>
      <c r="I54" s="859">
        <f>SUMIF(修正!A57:A68,H54,修正!D57:D68)</f>
        <v>0.3</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x14ac:dyDescent="0.15">
      <c r="A55" s="648"/>
      <c r="B55" s="224"/>
      <c r="C55" s="176"/>
      <c r="D55" s="1056"/>
      <c r="E55" s="649"/>
      <c r="F55" s="646"/>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x14ac:dyDescent="0.15">
      <c r="A56" s="648" t="s">
        <v>2352</v>
      </c>
      <c r="B56" s="224" t="e">
        <f t="shared" si="17"/>
        <v>#DIV/0!</v>
      </c>
      <c r="C56" s="176">
        <f t="shared" si="16"/>
        <v>0</v>
      </c>
      <c r="D56" s="1056">
        <v>0.25</v>
      </c>
      <c r="E56" s="223">
        <f>'数据-汇总表'!E11</f>
        <v>0</v>
      </c>
      <c r="F56" s="646"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x14ac:dyDescent="0.15">
      <c r="A57" s="648" t="s">
        <v>2354</v>
      </c>
      <c r="B57" s="224" t="e">
        <f t="shared" si="17"/>
        <v>#DIV/0!</v>
      </c>
      <c r="C57" s="176">
        <f t="shared" si="16"/>
        <v>0</v>
      </c>
      <c r="D57" s="1056">
        <v>0.25</v>
      </c>
      <c r="E57" s="223">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x14ac:dyDescent="0.15">
      <c r="A58" s="648" t="s">
        <v>2356</v>
      </c>
      <c r="B58" s="224" t="e">
        <f t="shared" si="17"/>
        <v>#DIV/0!</v>
      </c>
      <c r="C58" s="176">
        <f t="shared" si="16"/>
        <v>0</v>
      </c>
      <c r="D58" s="1056">
        <v>0.25</v>
      </c>
      <c r="E58" s="223">
        <f>'数据-汇总表'!E13</f>
        <v>0</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x14ac:dyDescent="0.15">
      <c r="A59" s="648" t="s">
        <v>2358</v>
      </c>
      <c r="B59" s="224" t="e">
        <f t="shared" si="17"/>
        <v>#DIV/0!</v>
      </c>
      <c r="C59" s="176">
        <f t="shared" si="16"/>
        <v>0.2</v>
      </c>
      <c r="D59" s="1056">
        <v>0.25</v>
      </c>
      <c r="E59" s="223">
        <f>'数据-汇总表'!E14</f>
        <v>0</v>
      </c>
      <c r="F59" s="646" t="e">
        <f t="shared" si="15"/>
        <v>#DIV/0!</v>
      </c>
      <c r="G59" s="2123" t="s">
        <v>2349</v>
      </c>
      <c r="H59" s="998" t="str">
        <f>项目基本情况!B37</f>
        <v>二级</v>
      </c>
      <c r="I59" s="859">
        <f>SUMIF(修正!A57:A68,H59,修正!G57:G68)</f>
        <v>0.2</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x14ac:dyDescent="0.2">
      <c r="A60" s="648" t="s">
        <v>2359</v>
      </c>
      <c r="B60" s="224" t="e">
        <f t="shared" si="17"/>
        <v>#DIV/0!</v>
      </c>
      <c r="C60" s="176">
        <f t="shared" si="16"/>
        <v>0</v>
      </c>
      <c r="D60" s="1056">
        <v>0.25</v>
      </c>
      <c r="E60" s="223">
        <f>'数据-汇总表'!E15</f>
        <v>0</v>
      </c>
      <c r="F60" s="646"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x14ac:dyDescent="0.2">
      <c r="A61" s="650" t="s">
        <v>2360</v>
      </c>
      <c r="B61" s="651" t="s">
        <v>28</v>
      </c>
      <c r="C61" s="651" t="s">
        <v>29</v>
      </c>
      <c r="D61" s="651" t="s">
        <v>816</v>
      </c>
      <c r="E61" s="651">
        <f>IF(B41="楼面地价",SUM(E51:E60),'数据-汇总表'!D3)</f>
        <v>0</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x14ac:dyDescent="0.2">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x14ac:dyDescent="0.2">
      <c r="A63" s="1038"/>
      <c r="B63" s="1040"/>
      <c r="C63" s="700" t="str">
        <f>YEAR(C7)&amp;"-"&amp;MONTH(C7)&amp;"-1"</f>
        <v>2022-11-1</v>
      </c>
      <c r="D63" s="700">
        <f>EDATE(C63,-3)</f>
        <v>44774</v>
      </c>
      <c r="E63" s="700">
        <f>EDATE(D63,-3)</f>
        <v>44682</v>
      </c>
      <c r="F63" s="700">
        <f t="shared" ref="F63:O63" si="18">EDATE(E63,-3)</f>
        <v>44593</v>
      </c>
      <c r="G63" s="700">
        <f t="shared" si="18"/>
        <v>44501</v>
      </c>
      <c r="H63" s="700">
        <f t="shared" si="18"/>
        <v>44409</v>
      </c>
      <c r="I63" s="700">
        <f t="shared" si="18"/>
        <v>44317</v>
      </c>
      <c r="J63" s="700">
        <f t="shared" si="18"/>
        <v>44228</v>
      </c>
      <c r="K63" s="700">
        <f t="shared" si="18"/>
        <v>44136</v>
      </c>
      <c r="L63" s="700">
        <f t="shared" si="18"/>
        <v>44044</v>
      </c>
      <c r="M63" s="700">
        <f t="shared" si="18"/>
        <v>43952</v>
      </c>
      <c r="N63" s="700">
        <f t="shared" si="18"/>
        <v>43862</v>
      </c>
      <c r="O63" s="700">
        <f t="shared" si="18"/>
        <v>43770</v>
      </c>
      <c r="P63" s="2903"/>
      <c r="Q63" s="2903"/>
      <c r="R63" s="2903"/>
      <c r="S63" s="2903"/>
      <c r="T63" s="2903"/>
      <c r="U63" s="2903"/>
      <c r="V63" s="2903"/>
      <c r="W63" s="2903"/>
      <c r="X63" s="2903"/>
      <c r="Y63" s="2903"/>
      <c r="Z63" s="2903"/>
      <c r="AA63" s="2903"/>
      <c r="AB63" s="2903"/>
      <c r="AC63" s="2903"/>
      <c r="AD63" s="2903"/>
      <c r="AE63" s="2903"/>
    </row>
    <row r="64" spans="1:31" ht="21" thickBot="1" x14ac:dyDescent="0.25">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5" customFormat="1" x14ac:dyDescent="0.2">
      <c r="A65" s="2125" t="s">
        <v>2361</v>
      </c>
      <c r="B65" s="1221"/>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x14ac:dyDescent="0.2">
      <c r="A66" s="2130"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 thickBot="1" x14ac:dyDescent="0.25">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x14ac:dyDescent="0.2">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 thickBot="1" x14ac:dyDescent="0.25">
      <c r="A69" s="478"/>
      <c r="B69" s="467"/>
      <c r="C69" s="594">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x14ac:dyDescent="0.2">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 thickBot="1" x14ac:dyDescent="0.25">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9" thickTop="1" x14ac:dyDescent="0.2">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 thickBot="1" x14ac:dyDescent="0.25">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 thickTop="1" x14ac:dyDescent="0.2">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x14ac:dyDescent="0.2">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 thickBot="1" x14ac:dyDescent="0.25">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 thickTop="1" x14ac:dyDescent="0.2">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 thickBot="1" x14ac:dyDescent="0.25">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 thickTop="1" x14ac:dyDescent="0.2">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 thickBot="1" x14ac:dyDescent="0.25">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 thickTop="1" x14ac:dyDescent="0.2">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 thickBot="1" x14ac:dyDescent="0.25">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x14ac:dyDescent="0.2">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 thickBot="1" x14ac:dyDescent="0.25">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 thickTop="1" x14ac:dyDescent="0.2">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 thickBot="1" x14ac:dyDescent="0.25">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 thickTop="1" x14ac:dyDescent="0.2">
      <c r="A87" s="536"/>
      <c r="B87" s="495" t="s">
        <v>2364</v>
      </c>
      <c r="C87" s="530" t="s">
        <v>2177</v>
      </c>
      <c r="D87" s="530" t="s">
        <v>2178</v>
      </c>
      <c r="E87" s="530" t="s">
        <v>2179</v>
      </c>
      <c r="F87" s="530" t="s">
        <v>2180</v>
      </c>
      <c r="G87" s="530" t="s">
        <v>2181</v>
      </c>
      <c r="H87" s="535"/>
      <c r="I87" s="535"/>
      <c r="J87" s="535"/>
      <c r="K87" s="535"/>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 thickBot="1" x14ac:dyDescent="0.25">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9" thickTop="1" x14ac:dyDescent="0.2">
      <c r="A89" s="536"/>
      <c r="B89" s="495" t="s">
        <v>2365</v>
      </c>
      <c r="C89" s="530" t="s">
        <v>2177</v>
      </c>
      <c r="D89" s="530" t="s">
        <v>2178</v>
      </c>
      <c r="E89" s="530" t="s">
        <v>2179</v>
      </c>
      <c r="F89" s="530" t="s">
        <v>2180</v>
      </c>
      <c r="G89" s="530" t="s">
        <v>2181</v>
      </c>
      <c r="H89" s="535"/>
      <c r="I89" s="535"/>
      <c r="J89" s="535"/>
      <c r="K89" s="535"/>
      <c r="L89" s="535"/>
      <c r="M89" s="577"/>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 thickBot="1" x14ac:dyDescent="0.25">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 thickTop="1" x14ac:dyDescent="0.2">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 thickBot="1" x14ac:dyDescent="0.25">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 thickTop="1" x14ac:dyDescent="0.2">
      <c r="A93" s="510"/>
      <c r="B93" s="503" t="s">
        <v>2382</v>
      </c>
      <c r="C93" s="615" t="s">
        <v>2255</v>
      </c>
      <c r="D93" s="615" t="s">
        <v>2256</v>
      </c>
      <c r="E93" s="615" t="s">
        <v>2257</v>
      </c>
      <c r="F93" s="615" t="s">
        <v>2258</v>
      </c>
      <c r="G93" s="615"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 thickBot="1" x14ac:dyDescent="0.25">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5" thickTop="1" x14ac:dyDescent="0.2">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 thickBot="1" x14ac:dyDescent="0.25">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9" thickTop="1" x14ac:dyDescent="0.2">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 thickBot="1" x14ac:dyDescent="0.25">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 thickTop="1" x14ac:dyDescent="0.2">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 thickBot="1" x14ac:dyDescent="0.25">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 thickTop="1" x14ac:dyDescent="0.2">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 thickBot="1" x14ac:dyDescent="0.25">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x14ac:dyDescent="0.2">
      <c r="A103" s="630"/>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 thickBot="1" x14ac:dyDescent="0.25">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x14ac:dyDescent="0.2">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 thickBot="1" x14ac:dyDescent="0.25">
      <c r="A106" s="510"/>
      <c r="B106" s="503"/>
      <c r="C106" s="527"/>
      <c r="D106" s="527"/>
      <c r="E106" s="527"/>
      <c r="F106" s="527"/>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x14ac:dyDescent="0.2">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x14ac:dyDescent="0.2">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 thickBot="1" x14ac:dyDescent="0.25">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x14ac:dyDescent="0.2">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 thickBot="1" x14ac:dyDescent="0.25">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x14ac:dyDescent="0.2">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 thickBot="1" x14ac:dyDescent="0.25">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x14ac:dyDescent="0.2">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 thickBot="1" x14ac:dyDescent="0.25">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x14ac:dyDescent="0.2">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 thickBot="1" x14ac:dyDescent="0.25">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x14ac:dyDescent="0.2">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 thickBot="1" x14ac:dyDescent="0.25">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x14ac:dyDescent="0.2">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 thickBot="1" x14ac:dyDescent="0.25">
      <c r="A121" s="525"/>
      <c r="B121" s="655"/>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x14ac:dyDescent="0.2">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x14ac:dyDescent="0.2">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view="pageBreakPreview" zoomScale="70" zoomScaleNormal="80" zoomScaleSheetLayoutView="70" workbookViewId="0">
      <selection activeCell="E21" sqref="E21"/>
    </sheetView>
  </sheetViews>
  <sheetFormatPr baseColWidth="10" defaultColWidth="12" defaultRowHeight="13" x14ac:dyDescent="0.2"/>
  <cols>
    <col min="1" max="1" width="9.6640625" style="2200" customWidth="1"/>
    <col min="2" max="2" width="19.1640625" style="2303" customWidth="1"/>
    <col min="3" max="4" width="12" style="2134"/>
    <col min="5" max="5" width="14.6640625" style="2134" customWidth="1"/>
    <col min="6" max="8" width="12" style="2134"/>
    <col min="9" max="9" width="12.1640625" style="2134" bestFit="1" customWidth="1"/>
    <col min="10" max="10" width="12" style="2134"/>
    <col min="11" max="11" width="8.1640625" style="2195" customWidth="1"/>
    <col min="12" max="12" width="12" style="2134"/>
    <col min="13" max="13" width="8.5" style="2134" customWidth="1"/>
    <col min="14" max="14" width="9.6640625" style="2134" customWidth="1"/>
    <col min="15" max="25" width="12" style="2134"/>
    <col min="26" max="26" width="9.33203125" style="2200" customWidth="1"/>
    <col min="27" max="32" width="9.33203125" style="1234" customWidth="1"/>
    <col min="33" max="36" width="9.33203125" style="2200" customWidth="1"/>
    <col min="37" max="38" width="9.33203125" style="2134" customWidth="1"/>
    <col min="39" max="16384" width="12" style="2134"/>
  </cols>
  <sheetData>
    <row r="1" spans="1:36" ht="30" x14ac:dyDescent="0.2">
      <c r="A1" s="202" t="s">
        <v>2383</v>
      </c>
      <c r="B1" s="203"/>
      <c r="C1" s="207" t="s">
        <v>2384</v>
      </c>
      <c r="D1" s="348">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6" x14ac:dyDescent="0.2">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t="e">
        <f>ROUND(IF(G3&gt;1,IF(R2&lt;7,SUMPRODUCT((B93:B98=R2)*(C92:N92=G2)*(C93:N98)),SUMIF(C92:N92,G2,C100:N100)),IF(R2&lt;7,SUMPRODUCT((B102:B107=R2)*(C92:N92=G2)*(C102:N107)),SUMIF(C92:N92,G2,C109:N109))),4)</f>
        <v>#DIV/0!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6" x14ac:dyDescent="0.2">
      <c r="A3" s="209" t="s">
        <v>2397</v>
      </c>
      <c r="B3" s="210" t="e">
        <f>ROUND(B2*10000/D1,0)</f>
        <v>#DIV/0!</v>
      </c>
      <c r="C3" s="2135" t="s">
        <v>2398</v>
      </c>
      <c r="D3" s="2136" t="s">
        <v>2399</v>
      </c>
      <c r="E3" s="2141"/>
      <c r="F3" s="2142" t="s">
        <v>2400</v>
      </c>
      <c r="G3" s="836" t="e">
        <f>IF(F3="宗地容积率",'数据-汇总表'!I4,IF(F3="估价对象容积率",'数据-汇总表'!I6,'数据-汇总表'!I7))</f>
        <v>#DIV/0!</v>
      </c>
      <c r="H3" s="175"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t="e">
        <f>ROUND(IF(G3&gt;1,IF(R3&lt;7,SUMPRODUCT((B93:B98=R3)*(C92:N92=G2)*(C93:N98)),SUMIF(C92:N92,G2,C100:N100)),IF(R3&lt;7,SUMPRODUCT((B102:B107=R3)*(C92:N92=G2)*(C102:N107)),SUMIF(C92:N92,G2,C109:N109))),4)</f>
        <v>#DIV/0!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6" x14ac:dyDescent="0.2">
      <c r="A4" s="3734"/>
      <c r="B4" s="3735"/>
      <c r="C4" s="3735"/>
      <c r="D4" s="3736"/>
      <c r="E4" s="3736"/>
      <c r="F4" s="3736"/>
      <c r="G4" s="3736"/>
      <c r="H4" s="3736"/>
      <c r="I4" s="3736"/>
      <c r="J4" s="3737"/>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t="e">
        <f>ROUND(IF(G3&gt;1,IF(R4&lt;7,SUMPRODUCT((B93:B98=R4)*(C92:N92=G2)*(C93:N98)),SUMIF(C92:N92,G2,C100:N100)),IF(R4&lt;7,SUMPRODUCT((B102:B107=R4)*(C92:N92=G2)*(C102:N107)),SUMIF(C92:N92,G2,C109:N109))),4)</f>
        <v>#DIV/0!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7" thickBot="1" x14ac:dyDescent="0.25">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t="e">
        <f>ROUND(IF(G3&gt;1,IF(R5&lt;7,SUMPRODUCT((B93:B98=R5)*(C92:N92=G2)*(C93:N98)),SUMIF(C92:N92,G2,C100:N100)),IF(R5&lt;7,SUMPRODUCT((B102:B107=R5)*(C92:N92=G2)*(C102:N107)),SUMIF(C92:N92,G2,C109:N109))),4)</f>
        <v>#DIV/0!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7" thickBot="1" x14ac:dyDescent="0.25">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t="e">
        <f>ROUND(IF(G3&gt;1,IF(R6&lt;7,SUMPRODUCT((B93:B98=R6)*(C92:N92=G2)*(C93:N98)),SUMIF(C92:N92,G2,C100:N100)),IF(R6&lt;7,SUMPRODUCT((B102:B107=R6)*(C92:N92=G2)*(C102:N107)),SUMIF(C92:N92,G2,C109:N109))),4)</f>
        <v>#DIV/0!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8" x14ac:dyDescent="0.2">
      <c r="A7" s="3738"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t="e">
        <f>ROUND(IF(G3&gt;1,IF(R7&lt;7,SUMPRODUCT((B93:B98=R7)*(C92:N92=G2)*(C93:N98)),SUMIF(C92:N92,G2,C100:N100)),IF(R7&lt;7,SUMPRODUCT((B102:B107=R7)*(C92:N92=G2)*(C102:N107)),SUMIF(C92:N92,G2,C109:N109))),4)</f>
        <v>#DIV/0!</v>
      </c>
      <c r="T7" s="1326" t="e">
        <f t="shared" si="0"/>
        <v>#DIV/0!</v>
      </c>
      <c r="U7" s="1327"/>
      <c r="V7" s="1326" t="e">
        <f t="shared" si="1"/>
        <v>#DIV/0!</v>
      </c>
      <c r="W7" s="1492" t="s">
        <v>2414</v>
      </c>
      <c r="X7" s="1328">
        <f>G2</f>
        <v>0</v>
      </c>
      <c r="Y7" s="1328" t="s">
        <v>2415</v>
      </c>
      <c r="Z7" s="1329" t="e">
        <f>G3</f>
        <v>#DIV/0!</v>
      </c>
      <c r="AA7" s="1330"/>
      <c r="AB7" s="1330"/>
      <c r="AC7" s="1331"/>
      <c r="AD7" s="1332"/>
      <c r="AE7" s="1332"/>
      <c r="AF7" s="1332"/>
      <c r="AG7" s="1332"/>
      <c r="AH7" s="1332"/>
      <c r="AI7" s="1332"/>
      <c r="AJ7" s="1333"/>
    </row>
    <row r="8" spans="1:36" ht="16" x14ac:dyDescent="0.2">
      <c r="A8" s="3739"/>
      <c r="B8" s="175"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731" t="s">
        <v>2419</v>
      </c>
      <c r="X8" s="3732"/>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6" x14ac:dyDescent="0.2">
      <c r="A9" s="3739"/>
      <c r="B9" s="175" t="s">
        <v>2432</v>
      </c>
      <c r="C9" s="842">
        <f>SUMIF(修正!C71:C138,C8,修正!E71:E138)</f>
        <v>0</v>
      </c>
      <c r="D9" s="176" t="s">
        <v>140</v>
      </c>
      <c r="E9" s="176"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733"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6" x14ac:dyDescent="0.2">
      <c r="A10" s="3739"/>
      <c r="B10" s="175" t="s">
        <v>2437</v>
      </c>
      <c r="C10" s="176">
        <f>SUMIF(修正!C71:C138,C8,修正!F71:F138)</f>
        <v>0</v>
      </c>
      <c r="D10" s="176" t="s">
        <v>141</v>
      </c>
      <c r="E10" s="176"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733"/>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7" thickBot="1" x14ac:dyDescent="0.25">
      <c r="A11" s="3739"/>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733" t="s">
        <v>2443</v>
      </c>
      <c r="X11" s="1338" t="s">
        <v>2444</v>
      </c>
      <c r="Y11" s="1339" t="e">
        <f>$G$3</f>
        <v>#DIV/0!</v>
      </c>
      <c r="Z11" s="1339" t="e">
        <f t="shared" ref="Z11:AJ11" si="3">$G$3</f>
        <v>#DIV/0!</v>
      </c>
      <c r="AA11" s="1339" t="e">
        <f t="shared" si="3"/>
        <v>#DIV/0!</v>
      </c>
      <c r="AB11" s="1339" t="e">
        <f t="shared" si="3"/>
        <v>#DIV/0!</v>
      </c>
      <c r="AC11" s="1339" t="e">
        <f t="shared" si="3"/>
        <v>#DIV/0!</v>
      </c>
      <c r="AD11" s="1339" t="e">
        <f t="shared" si="3"/>
        <v>#DIV/0!</v>
      </c>
      <c r="AE11" s="1339" t="e">
        <f t="shared" si="3"/>
        <v>#DIV/0!</v>
      </c>
      <c r="AF11" s="1339" t="e">
        <f t="shared" si="3"/>
        <v>#DIV/0!</v>
      </c>
      <c r="AG11" s="1339" t="e">
        <f t="shared" si="3"/>
        <v>#DIV/0!</v>
      </c>
      <c r="AH11" s="1339" t="e">
        <f t="shared" si="3"/>
        <v>#DIV/0!</v>
      </c>
      <c r="AI11" s="1339" t="e">
        <f t="shared" si="3"/>
        <v>#DIV/0!</v>
      </c>
      <c r="AJ11" s="1339" t="e">
        <f t="shared" si="3"/>
        <v>#DIV/0!</v>
      </c>
    </row>
    <row r="12" spans="1:36" ht="29" thickBot="1" x14ac:dyDescent="0.25">
      <c r="A12" s="3738"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733"/>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8" x14ac:dyDescent="0.2">
      <c r="A13" s="3740"/>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733"/>
      <c r="X13" s="1340"/>
      <c r="Y13" s="1337" t="e">
        <f>(-0.163*(Y12^2)-0.59*Y12+7617)*(10^(-4))/Y11</f>
        <v>#DIV/0!</v>
      </c>
      <c r="Z13" s="1337" t="e">
        <f t="shared" ref="Z13:AJ13" si="5">(-0.163*(Z12^2)-0.59*Z12+7617)*(10^(-4))/Z11</f>
        <v>#DIV/0!</v>
      </c>
      <c r="AA13" s="1337" t="e">
        <f t="shared" si="5"/>
        <v>#DIV/0!</v>
      </c>
      <c r="AB13" s="1337" t="e">
        <f t="shared" si="5"/>
        <v>#DIV/0!</v>
      </c>
      <c r="AC13" s="1337" t="e">
        <f t="shared" si="5"/>
        <v>#DIV/0!</v>
      </c>
      <c r="AD13" s="1337" t="e">
        <f t="shared" si="5"/>
        <v>#DIV/0!</v>
      </c>
      <c r="AE13" s="1337" t="e">
        <f t="shared" si="5"/>
        <v>#DIV/0!</v>
      </c>
      <c r="AF13" s="1337" t="e">
        <f t="shared" si="5"/>
        <v>#DIV/0!</v>
      </c>
      <c r="AG13" s="1337" t="e">
        <f t="shared" si="5"/>
        <v>#DIV/0!</v>
      </c>
      <c r="AH13" s="1337" t="e">
        <f t="shared" si="5"/>
        <v>#DIV/0!</v>
      </c>
      <c r="AI13" s="1337" t="e">
        <f t="shared" si="5"/>
        <v>#DIV/0!</v>
      </c>
      <c r="AJ13" s="1337" t="e">
        <f t="shared" si="5"/>
        <v>#DIV/0!</v>
      </c>
    </row>
    <row r="14" spans="1:36" ht="16" x14ac:dyDescent="0.2">
      <c r="A14" s="3740"/>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7" thickBot="1" x14ac:dyDescent="0.25">
      <c r="A15" s="3741"/>
      <c r="B15" s="2190" t="s">
        <v>2457</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5" customHeight="1" x14ac:dyDescent="0.2">
      <c r="A16" s="3738" t="s">
        <v>2462</v>
      </c>
      <c r="B16" s="2159" t="s">
        <v>2463</v>
      </c>
      <c r="C16" s="2321" t="e">
        <f>ROUND(IF(F17="与级别开发程度一致",0,(G17-E17)/C17),0)</f>
        <v>#DIV/0!</v>
      </c>
      <c r="D16" s="3754" t="s">
        <v>2467</v>
      </c>
      <c r="E16" s="3755"/>
      <c r="F16" s="3754" t="s">
        <v>2464</v>
      </c>
      <c r="G16" s="3755"/>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5" thickBot="1" x14ac:dyDescent="0.25">
      <c r="A17" s="3742"/>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 thickBot="1" x14ac:dyDescent="0.25">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9" thickBot="1" x14ac:dyDescent="0.25">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44868</v>
      </c>
      <c r="H19" s="2202"/>
      <c r="I19" s="847" t="str">
        <f>IF(H19="季度增幅（自定义）",SUMIF(N21:N24,E2,O21:O24),"")</f>
        <v/>
      </c>
      <c r="J19" s="2199"/>
      <c r="K19" s="1239"/>
      <c r="L19" s="2203" t="s">
        <v>2473</v>
      </c>
      <c r="M19" s="1448">
        <f>ROUND(SUMIF(地价!B2:F2,E2,地价!B37:F37),0)</f>
        <v>0</v>
      </c>
      <c r="N19" s="2204" t="s">
        <v>2474</v>
      </c>
      <c r="O19" s="848">
        <f>ROUNDDOWN(DATEDIF(E19,G19,"M")/3,0)</f>
        <v>35</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9" thickBot="1" x14ac:dyDescent="0.25">
      <c r="A20" s="2206" t="s">
        <v>629</v>
      </c>
      <c r="B20" s="2207" t="s">
        <v>2475</v>
      </c>
      <c r="C20" s="849" t="e">
        <f>ROUND(POWER(1+G20,J20-I20)*(POWER(1+G20,I20)-1)/(POWER(1+G20,J20)-1),4)</f>
        <v>#DIV/0!</v>
      </c>
      <c r="D20" s="2208" t="s">
        <v>2476</v>
      </c>
      <c r="E20" s="1455">
        <f>存贷款利率!E22/100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4" x14ac:dyDescent="0.2">
      <c r="A21" s="2213" t="s">
        <v>630</v>
      </c>
      <c r="B21" s="2214" t="s">
        <v>2482</v>
      </c>
      <c r="C21" s="856" t="e">
        <f>IF(B21="容积率修正",IF(G3&lt;=10,D22,J22),C23)</f>
        <v>#DIV/0!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 x14ac:dyDescent="0.2">
      <c r="A22" s="2091" t="s">
        <v>2484</v>
      </c>
      <c r="B22" s="2218" t="s">
        <v>2485</v>
      </c>
      <c r="C22" s="1486" t="s">
        <v>2486</v>
      </c>
      <c r="D22" s="1486" t="e">
        <f>IF(E22=G22,F22,IF(G3&lt;=10,ROUND(F22+(H22-F22)*(G3-E22)/(G22-E22),4),"——"))</f>
        <v>#DIV/0!</v>
      </c>
      <c r="E22" s="836" t="e">
        <f>ROUNDDOWN(G3,1)</f>
        <v>#DIV/0!</v>
      </c>
      <c r="F22" s="148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36" t="e">
        <f>ROUNDUP(G3,1)</f>
        <v>#DIV/0!</v>
      </c>
      <c r="H22" s="148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86" t="s">
        <v>155</v>
      </c>
      <c r="J22" s="857" t="e">
        <f>IF(G3&gt;10,D113,"——")</f>
        <v>#DIV/0!</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15" thickBot="1" x14ac:dyDescent="0.25">
      <c r="A23" s="2091" t="s">
        <v>2488</v>
      </c>
      <c r="B23" s="2219" t="s">
        <v>2489</v>
      </c>
      <c r="C23" s="930" t="e">
        <f>ROUND(IF(G3&gt;1,IF(I3&lt;7,SUMPRODUCT((B93:B98=I3)*(C92:N92=G2)*(C93:N98)),SUMIF(C92:N92,G2,C100:N100)),IF(I3&lt;7,SUMPRODUCT((B102:B107=I3)*(C92:N92=G2)*(C102:N107)),SUMIF(C92:N92,G2,C109:N109))),4)</f>
        <v>#DIV/0!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 thickBot="1" x14ac:dyDescent="0.25">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 thickBot="1" x14ac:dyDescent="0.25">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4" x14ac:dyDescent="0.2">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 thickBot="1" x14ac:dyDescent="0.25">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 thickBot="1" x14ac:dyDescent="0.25">
      <c r="A28" s="2239"/>
      <c r="B28" s="2240" t="s">
        <v>2497</v>
      </c>
      <c r="C28" s="2241" t="s">
        <v>2498</v>
      </c>
      <c r="D28" s="2241" t="s">
        <v>2499</v>
      </c>
      <c r="E28" s="2242" t="s">
        <v>2500</v>
      </c>
      <c r="F28" s="2243"/>
      <c r="G28" s="2175"/>
      <c r="H28" s="2175"/>
      <c r="I28" s="2175"/>
      <c r="J28" s="2176"/>
      <c r="K28" s="1232"/>
      <c r="L28" s="2194"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x14ac:dyDescent="0.2">
      <c r="A29" s="2244"/>
      <c r="B29" s="2245" t="s">
        <v>2501</v>
      </c>
      <c r="C29" s="180"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9" thickBot="1" x14ac:dyDescent="0.25">
      <c r="A30" s="2250"/>
      <c r="B30" s="2251" t="s">
        <v>2503</v>
      </c>
      <c r="C30" s="193"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 x14ac:dyDescent="0.2">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8" x14ac:dyDescent="0.2">
      <c r="A32" s="2244"/>
      <c r="B32" s="2260"/>
      <c r="C32" s="458" t="s">
        <v>2498</v>
      </c>
      <c r="D32" s="455" t="s">
        <v>2499</v>
      </c>
      <c r="E32" s="455" t="s">
        <v>2500</v>
      </c>
      <c r="F32" s="348" t="s">
        <v>2508</v>
      </c>
      <c r="G32" s="2261" t="s">
        <v>2498</v>
      </c>
      <c r="H32" s="2261" t="s">
        <v>2499</v>
      </c>
      <c r="I32" s="2261"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x14ac:dyDescent="0.2">
      <c r="A33" s="3751"/>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756" t="s">
        <v>2811</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 x14ac:dyDescent="0.2">
      <c r="A34" s="3752"/>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752"/>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ht="14" x14ac:dyDescent="0.2">
      <c r="A35" s="3752"/>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752"/>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5" thickBot="1" x14ac:dyDescent="0.25">
      <c r="A36" s="3753"/>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753"/>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ht="14" x14ac:dyDescent="0.2">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ht="14" x14ac:dyDescent="0.2">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5" thickBot="1" x14ac:dyDescent="0.25">
      <c r="A39" s="2250"/>
      <c r="B39" s="2268" t="s">
        <v>2517</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x14ac:dyDescent="0.2">
      <c r="Z40" s="1233"/>
      <c r="AA40" s="1233"/>
      <c r="AB40" s="1233"/>
      <c r="AC40" s="1233"/>
      <c r="AD40" s="1233"/>
      <c r="AE40" s="1233"/>
      <c r="AF40" s="1233"/>
      <c r="AG40" s="1233"/>
      <c r="AH40" s="1233"/>
      <c r="AI40" s="1233"/>
      <c r="AJ40" s="1233"/>
    </row>
    <row r="41" spans="1:37" s="1232" customFormat="1" ht="14" x14ac:dyDescent="0.2">
      <c r="A41" s="1233"/>
      <c r="B41" s="2320" t="s">
        <v>2622</v>
      </c>
      <c r="C41" s="348" t="e">
        <f>ROUND(POWER(1+E41,H41-G41)*(POWER(1+E41,G41)-1)/(POWER(1+E41,H41)-1),4)</f>
        <v>#DIV/0!</v>
      </c>
      <c r="D41" s="176" t="s">
        <v>2468</v>
      </c>
      <c r="E41" s="2319">
        <f>G20</f>
        <v>0</v>
      </c>
      <c r="F41" s="176" t="s">
        <v>2477</v>
      </c>
      <c r="G41" s="189"/>
      <c r="H41" s="176">
        <v>50</v>
      </c>
      <c r="Z41" s="1233"/>
      <c r="AA41" s="1233"/>
      <c r="AB41" s="1233"/>
      <c r="AC41" s="1233"/>
      <c r="AD41" s="1233"/>
      <c r="AE41" s="1233"/>
      <c r="AF41" s="1233"/>
      <c r="AG41" s="1233"/>
      <c r="AH41" s="1233"/>
      <c r="AI41" s="1233"/>
      <c r="AJ41" s="1233"/>
    </row>
    <row r="42" spans="1:37" s="1232" customFormat="1" x14ac:dyDescent="0.2">
      <c r="A42" s="1233"/>
      <c r="B42" s="2272"/>
      <c r="Z42" s="1233"/>
      <c r="AA42" s="1233"/>
      <c r="AB42" s="1233"/>
      <c r="AC42" s="1233"/>
      <c r="AD42" s="1233"/>
      <c r="AE42" s="1233"/>
      <c r="AF42" s="1233"/>
      <c r="AG42" s="1233"/>
      <c r="AH42" s="1233"/>
      <c r="AI42" s="1233"/>
      <c r="AJ42" s="1233"/>
    </row>
    <row r="43" spans="1:37" s="1232" customFormat="1" x14ac:dyDescent="0.2">
      <c r="A43" s="1233"/>
      <c r="B43" s="2272"/>
      <c r="Z43" s="1233"/>
      <c r="AA43" s="1233"/>
      <c r="AB43" s="1233"/>
      <c r="AC43" s="1233"/>
      <c r="AD43" s="1233"/>
      <c r="AE43" s="1233"/>
      <c r="AF43" s="1233"/>
      <c r="AG43" s="1233"/>
      <c r="AH43" s="1233"/>
      <c r="AI43" s="1233"/>
      <c r="AJ43" s="1233"/>
    </row>
    <row r="44" spans="1:37" s="1232" customFormat="1" x14ac:dyDescent="0.2">
      <c r="A44" s="1233"/>
      <c r="B44" s="2272"/>
      <c r="Z44" s="1233"/>
      <c r="AA44" s="1233"/>
      <c r="AB44" s="1233"/>
      <c r="AC44" s="1233"/>
      <c r="AD44" s="1233"/>
      <c r="AE44" s="1233"/>
      <c r="AF44" s="1233"/>
      <c r="AG44" s="1233"/>
      <c r="AH44" s="1233"/>
      <c r="AI44" s="1233"/>
      <c r="AJ44" s="1233"/>
    </row>
    <row r="45" spans="1:37" s="1232" customFormat="1" ht="15" thickBot="1" x14ac:dyDescent="0.25">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4" x14ac:dyDescent="0.2">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8" x14ac:dyDescent="0.2">
      <c r="A47" s="2279" t="s">
        <v>2520</v>
      </c>
      <c r="B47" s="1485" t="s">
        <v>2521</v>
      </c>
      <c r="C47" s="1485" t="s">
        <v>2522</v>
      </c>
      <c r="D47" s="1485" t="s">
        <v>2523</v>
      </c>
      <c r="E47" s="757" t="s">
        <v>2524</v>
      </c>
      <c r="F47" s="2280" t="s">
        <v>2525</v>
      </c>
      <c r="G47" s="1485" t="s">
        <v>574</v>
      </c>
      <c r="H47" s="2281"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39" x14ac:dyDescent="0.2">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2" x14ac:dyDescent="0.2">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8" x14ac:dyDescent="0.2">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42" x14ac:dyDescent="0.2">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8" x14ac:dyDescent="0.2">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8" x14ac:dyDescent="0.2">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8" x14ac:dyDescent="0.2">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8" x14ac:dyDescent="0.2">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40" thickBot="1" x14ac:dyDescent="0.25">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4" x14ac:dyDescent="0.2">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8" x14ac:dyDescent="0.2">
      <c r="A58" s="2279" t="s">
        <v>2520</v>
      </c>
      <c r="B58" s="1485"/>
      <c r="C58" s="1485" t="s">
        <v>2522</v>
      </c>
      <c r="D58" s="1485" t="s">
        <v>2523</v>
      </c>
      <c r="E58" s="757" t="s">
        <v>2524</v>
      </c>
      <c r="F58" s="2280" t="s">
        <v>2540</v>
      </c>
      <c r="G58" s="1485" t="s">
        <v>574</v>
      </c>
      <c r="H58" s="2281"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52" x14ac:dyDescent="0.2">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2" x14ac:dyDescent="0.2">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8" x14ac:dyDescent="0.2">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42" x14ac:dyDescent="0.2">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8" x14ac:dyDescent="0.2">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8" x14ac:dyDescent="0.2">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8" x14ac:dyDescent="0.2">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8" x14ac:dyDescent="0.2">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40" thickBot="1" x14ac:dyDescent="0.25">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4" x14ac:dyDescent="0.2">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8" x14ac:dyDescent="0.2">
      <c r="A69" s="2279" t="s">
        <v>2520</v>
      </c>
      <c r="B69" s="1485"/>
      <c r="C69" s="1485" t="s">
        <v>2522</v>
      </c>
      <c r="D69" s="1485" t="s">
        <v>2523</v>
      </c>
      <c r="E69" s="757" t="s">
        <v>2524</v>
      </c>
      <c r="F69" s="2280" t="s">
        <v>2540</v>
      </c>
      <c r="G69" s="1485" t="s">
        <v>574</v>
      </c>
      <c r="H69" s="2281"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2" x14ac:dyDescent="0.2">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2" x14ac:dyDescent="0.2">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8" x14ac:dyDescent="0.2">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 x14ac:dyDescent="0.2">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8" x14ac:dyDescent="0.2">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8" x14ac:dyDescent="0.2">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8" x14ac:dyDescent="0.2">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9" x14ac:dyDescent="0.2">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9" thickBot="1" x14ac:dyDescent="0.25">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4" x14ac:dyDescent="0.2">
      <c r="A79" s="2275" t="s">
        <v>2546</v>
      </c>
      <c r="B79" s="2276">
        <f>1+E81</f>
        <v>1</v>
      </c>
      <c r="C79" s="752"/>
      <c r="D79" s="752"/>
      <c r="E79" s="753"/>
      <c r="F79" s="2278"/>
      <c r="G79" s="6"/>
      <c r="H79" s="6"/>
      <c r="I79" s="6"/>
      <c r="J79" s="7"/>
      <c r="K79" s="7"/>
      <c r="L79" s="7"/>
      <c r="M79" s="7"/>
      <c r="N79" s="7"/>
      <c r="Z79" s="2134"/>
      <c r="AA79" s="2200"/>
      <c r="AG79" s="1234"/>
      <c r="AK79" s="2200"/>
    </row>
    <row r="80" spans="1:37" ht="28" x14ac:dyDescent="0.2">
      <c r="A80" s="2279" t="s">
        <v>2520</v>
      </c>
      <c r="B80" s="1485"/>
      <c r="C80" s="1485" t="s">
        <v>2522</v>
      </c>
      <c r="D80" s="1485" t="s">
        <v>2523</v>
      </c>
      <c r="E80" s="757" t="s">
        <v>2524</v>
      </c>
      <c r="F80" s="2280" t="s">
        <v>2540</v>
      </c>
      <c r="G80" s="1485" t="s">
        <v>574</v>
      </c>
      <c r="H80" s="2281" t="s">
        <v>2526</v>
      </c>
      <c r="I80" s="1485" t="s">
        <v>2527</v>
      </c>
      <c r="J80" s="560" t="s">
        <v>2177</v>
      </c>
      <c r="K80" s="560" t="s">
        <v>2178</v>
      </c>
      <c r="L80" s="560" t="s">
        <v>2179</v>
      </c>
      <c r="M80" s="560" t="s">
        <v>2180</v>
      </c>
      <c r="N80" s="560" t="s">
        <v>2181</v>
      </c>
      <c r="Z80" s="2134"/>
      <c r="AA80" s="2200"/>
      <c r="AG80" s="1234"/>
      <c r="AK80" s="2200"/>
    </row>
    <row r="81" spans="1:37" ht="39" x14ac:dyDescent="0.2">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2" x14ac:dyDescent="0.2">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8" x14ac:dyDescent="0.2">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 x14ac:dyDescent="0.2">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8" x14ac:dyDescent="0.2">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8" x14ac:dyDescent="0.2">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8" x14ac:dyDescent="0.2">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40" thickBot="1" x14ac:dyDescent="0.25">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ht="14" x14ac:dyDescent="0.2">
      <c r="A90" s="3743" t="s">
        <v>2550</v>
      </c>
      <c r="B90" s="3743"/>
      <c r="C90" s="3743"/>
      <c r="D90" s="3743"/>
      <c r="E90" s="3743"/>
      <c r="F90" s="3743"/>
      <c r="G90" s="3743"/>
      <c r="H90" s="3743"/>
      <c r="I90" s="3743"/>
      <c r="J90" s="3743"/>
      <c r="K90" s="2293"/>
      <c r="L90" s="2293"/>
      <c r="M90" s="2293"/>
      <c r="N90" s="2293"/>
    </row>
    <row r="91" spans="1:37" ht="14" x14ac:dyDescent="0.2">
      <c r="A91" s="3745" t="s">
        <v>2551</v>
      </c>
      <c r="B91" s="3745" t="s">
        <v>2552</v>
      </c>
      <c r="C91" s="2247" t="s">
        <v>2553</v>
      </c>
      <c r="D91" s="2248"/>
      <c r="E91" s="2248"/>
      <c r="F91" s="2248"/>
      <c r="G91" s="2248"/>
      <c r="H91" s="2248"/>
      <c r="I91" s="2248"/>
      <c r="J91" s="2294"/>
      <c r="K91" s="2295"/>
      <c r="L91" s="2295"/>
      <c r="M91" s="2295"/>
      <c r="N91" s="2295"/>
    </row>
    <row r="92" spans="1:37" ht="14" x14ac:dyDescent="0.2">
      <c r="A92" s="3745"/>
      <c r="B92" s="3745"/>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x14ac:dyDescent="0.2">
      <c r="A93" s="3746"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x14ac:dyDescent="0.2">
      <c r="A94" s="3747"/>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x14ac:dyDescent="0.2">
      <c r="A95" s="3747"/>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x14ac:dyDescent="0.2">
      <c r="A96" s="3747"/>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x14ac:dyDescent="0.2">
      <c r="A97" s="3747"/>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x14ac:dyDescent="0.2">
      <c r="A98" s="3747"/>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ht="14" x14ac:dyDescent="0.2">
      <c r="A99" s="3747"/>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x14ac:dyDescent="0.2">
      <c r="A100" s="3748"/>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ht="14" x14ac:dyDescent="0.2">
      <c r="A101" s="3746" t="s">
        <v>2555</v>
      </c>
      <c r="B101" s="2300" t="s">
        <v>2556</v>
      </c>
      <c r="C101" s="2301" t="e">
        <f>$G$3</f>
        <v>#DIV/0!</v>
      </c>
      <c r="D101" s="2301" t="e">
        <f t="shared" ref="D101:N101" si="31">$G$3</f>
        <v>#DIV/0!</v>
      </c>
      <c r="E101" s="2301" t="e">
        <f t="shared" si="31"/>
        <v>#DIV/0!</v>
      </c>
      <c r="F101" s="2301" t="e">
        <f t="shared" si="31"/>
        <v>#DIV/0!</v>
      </c>
      <c r="G101" s="2301" t="e">
        <f t="shared" si="31"/>
        <v>#DIV/0!</v>
      </c>
      <c r="H101" s="2301" t="e">
        <f t="shared" si="31"/>
        <v>#DIV/0!</v>
      </c>
      <c r="I101" s="2301" t="e">
        <f t="shared" si="31"/>
        <v>#DIV/0!</v>
      </c>
      <c r="J101" s="2301" t="e">
        <f t="shared" si="31"/>
        <v>#DIV/0!</v>
      </c>
      <c r="K101" s="2301" t="e">
        <f t="shared" si="31"/>
        <v>#DIV/0!</v>
      </c>
      <c r="L101" s="2301" t="e">
        <f t="shared" si="31"/>
        <v>#DIV/0!</v>
      </c>
      <c r="M101" s="2301" t="e">
        <f t="shared" si="31"/>
        <v>#DIV/0!</v>
      </c>
      <c r="N101" s="2301" t="e">
        <f t="shared" si="31"/>
        <v>#DIV/0!</v>
      </c>
    </row>
    <row r="102" spans="1:14" x14ac:dyDescent="0.2">
      <c r="A102" s="3747"/>
      <c r="B102" s="2296">
        <v>1</v>
      </c>
      <c r="C102" s="2297" t="e">
        <f>1.9362/C101</f>
        <v>#DIV/0!</v>
      </c>
      <c r="D102" s="2297" t="e">
        <f>1.9362/D101</f>
        <v>#DIV/0!</v>
      </c>
      <c r="E102" s="2297" t="e">
        <f>1.8629/E101</f>
        <v>#DIV/0!</v>
      </c>
      <c r="F102" s="2297" t="e">
        <f>1.8629/F101</f>
        <v>#DIV/0!</v>
      </c>
      <c r="G102" s="2297" t="e">
        <f>1.8629/G101</f>
        <v>#DIV/0!</v>
      </c>
      <c r="H102" s="2297" t="e">
        <f>1.8629/H101</f>
        <v>#DIV/0!</v>
      </c>
      <c r="I102" s="2297" t="e">
        <f>1.8629/I101</f>
        <v>#DIV/0!</v>
      </c>
      <c r="J102" s="2297" t="e">
        <f>1.942/J101</f>
        <v>#DIV/0!</v>
      </c>
      <c r="K102" s="2297" t="e">
        <f>1.942/K101</f>
        <v>#DIV/0!</v>
      </c>
      <c r="L102" s="2297" t="e">
        <f>1.942/L101</f>
        <v>#DIV/0!</v>
      </c>
      <c r="M102" s="2297" t="e">
        <f>1.942/M101</f>
        <v>#DIV/0!</v>
      </c>
      <c r="N102" s="2297" t="e">
        <f>1.942/N101</f>
        <v>#DIV/0!</v>
      </c>
    </row>
    <row r="103" spans="1:14" x14ac:dyDescent="0.2">
      <c r="A103" s="3747"/>
      <c r="B103" s="2296">
        <v>2</v>
      </c>
      <c r="C103" s="2297" t="e">
        <f>1.4198/C101</f>
        <v>#DIV/0!</v>
      </c>
      <c r="D103" s="2297" t="e">
        <f>1.4198/D101</f>
        <v>#DIV/0!</v>
      </c>
      <c r="E103" s="2297" t="e">
        <f>1.3372/E101</f>
        <v>#DIV/0!</v>
      </c>
      <c r="F103" s="2297" t="e">
        <f>1.3372/F101</f>
        <v>#DIV/0!</v>
      </c>
      <c r="G103" s="2297" t="e">
        <f>1.3372/G101</f>
        <v>#DIV/0!</v>
      </c>
      <c r="H103" s="2297" t="e">
        <f>1.3372/H101</f>
        <v>#DIV/0!</v>
      </c>
      <c r="I103" s="2297" t="e">
        <f>1.3372/I101</f>
        <v>#DIV/0!</v>
      </c>
      <c r="J103" s="2297" t="e">
        <f>1.2799/J101</f>
        <v>#DIV/0!</v>
      </c>
      <c r="K103" s="2297" t="e">
        <f>1.2799/K101</f>
        <v>#DIV/0!</v>
      </c>
      <c r="L103" s="2297" t="e">
        <f>1.2799/L101</f>
        <v>#DIV/0!</v>
      </c>
      <c r="M103" s="2297" t="e">
        <f>1.2799/M101</f>
        <v>#DIV/0!</v>
      </c>
      <c r="N103" s="2297" t="e">
        <f>1.2799/N101</f>
        <v>#DIV/0!</v>
      </c>
    </row>
    <row r="104" spans="1:14" x14ac:dyDescent="0.2">
      <c r="A104" s="3747"/>
      <c r="B104" s="2296">
        <v>3</v>
      </c>
      <c r="C104" s="2297" t="e">
        <f>1.1594/C101</f>
        <v>#DIV/0!</v>
      </c>
      <c r="D104" s="2297" t="e">
        <f>1.1594/D101</f>
        <v>#DIV/0!</v>
      </c>
      <c r="E104" s="2297" t="e">
        <f>1.0788/E101</f>
        <v>#DIV/0!</v>
      </c>
      <c r="F104" s="2297" t="e">
        <f>1.0788/F101</f>
        <v>#DIV/0!</v>
      </c>
      <c r="G104" s="2297" t="e">
        <f>1.0788/G101</f>
        <v>#DIV/0!</v>
      </c>
      <c r="H104" s="2297" t="e">
        <f>1.0788/H101</f>
        <v>#DIV/0!</v>
      </c>
      <c r="I104" s="2297" t="e">
        <f>1.0788/I101</f>
        <v>#DIV/0!</v>
      </c>
      <c r="J104" s="2297" t="e">
        <f>1.0072/J101</f>
        <v>#DIV/0!</v>
      </c>
      <c r="K104" s="2297" t="e">
        <f>1.0072/K101</f>
        <v>#DIV/0!</v>
      </c>
      <c r="L104" s="2297" t="e">
        <f>1.0072/L101</f>
        <v>#DIV/0!</v>
      </c>
      <c r="M104" s="2297" t="e">
        <f>1.0072/M101</f>
        <v>#DIV/0!</v>
      </c>
      <c r="N104" s="2297" t="e">
        <f>1.0072/N101</f>
        <v>#DIV/0!</v>
      </c>
    </row>
    <row r="105" spans="1:14" x14ac:dyDescent="0.2">
      <c r="A105" s="3747"/>
      <c r="B105" s="2296">
        <v>4</v>
      </c>
      <c r="C105" s="2297" t="e">
        <f>0.9622/C101</f>
        <v>#DIV/0!</v>
      </c>
      <c r="D105" s="2297" t="e">
        <f>0.9622/D101</f>
        <v>#DIV/0!</v>
      </c>
      <c r="E105" s="2297" t="e">
        <f>0.8656/E101</f>
        <v>#DIV/0!</v>
      </c>
      <c r="F105" s="2297" t="e">
        <f>0.8656/F101</f>
        <v>#DIV/0!</v>
      </c>
      <c r="G105" s="2297" t="e">
        <f>0.8656/G101</f>
        <v>#DIV/0!</v>
      </c>
      <c r="H105" s="2297" t="e">
        <f>0.8656/H101</f>
        <v>#DIV/0!</v>
      </c>
      <c r="I105" s="2297" t="e">
        <f>0.8656/I101</f>
        <v>#DIV/0!</v>
      </c>
      <c r="J105" s="2297" t="e">
        <f>0.7525/J101</f>
        <v>#DIV/0!</v>
      </c>
      <c r="K105" s="2297" t="e">
        <f>0.7525/K101</f>
        <v>#DIV/0!</v>
      </c>
      <c r="L105" s="2297" t="e">
        <f>0.7525/L101</f>
        <v>#DIV/0!</v>
      </c>
      <c r="M105" s="2297" t="e">
        <f>0.7525/M101</f>
        <v>#DIV/0!</v>
      </c>
      <c r="N105" s="2297" t="e">
        <f>0.7525/N101</f>
        <v>#DIV/0!</v>
      </c>
    </row>
    <row r="106" spans="1:14" x14ac:dyDescent="0.2">
      <c r="A106" s="3747"/>
      <c r="B106" s="2296">
        <v>5</v>
      </c>
      <c r="C106" s="2297" t="e">
        <f>0.8417/C101</f>
        <v>#DIV/0!</v>
      </c>
      <c r="D106" s="2297" t="e">
        <f>0.8417/D101</f>
        <v>#DIV/0!</v>
      </c>
      <c r="E106" s="2297" t="e">
        <f>0.7371/E101</f>
        <v>#DIV/0!</v>
      </c>
      <c r="F106" s="2297" t="e">
        <f>0.7371/F101</f>
        <v>#DIV/0!</v>
      </c>
      <c r="G106" s="2297" t="e">
        <f>0.7371/G101</f>
        <v>#DIV/0!</v>
      </c>
      <c r="H106" s="2297" t="e">
        <f>0.7371/H101</f>
        <v>#DIV/0!</v>
      </c>
      <c r="I106" s="2297" t="e">
        <f>0.7371/I101</f>
        <v>#DIV/0!</v>
      </c>
      <c r="J106" s="2297" t="e">
        <f>0.5659/J101</f>
        <v>#DIV/0!</v>
      </c>
      <c r="K106" s="2297" t="e">
        <f>0.5659/K101</f>
        <v>#DIV/0!</v>
      </c>
      <c r="L106" s="2297" t="e">
        <f>0.5659/L101</f>
        <v>#DIV/0!</v>
      </c>
      <c r="M106" s="2297" t="e">
        <f>0.5659/M101</f>
        <v>#DIV/0!</v>
      </c>
      <c r="N106" s="2297" t="e">
        <f>0.5659/N101</f>
        <v>#DIV/0!</v>
      </c>
    </row>
    <row r="107" spans="1:14" x14ac:dyDescent="0.2">
      <c r="A107" s="3747"/>
      <c r="B107" s="2296">
        <v>6</v>
      </c>
      <c r="C107" s="2297" t="e">
        <f>0.7608/C101</f>
        <v>#DIV/0!</v>
      </c>
      <c r="D107" s="2297" t="e">
        <f>0.7608/D101</f>
        <v>#DIV/0!</v>
      </c>
      <c r="E107" s="2297" t="e">
        <f>0.6482/E101</f>
        <v>#DIV/0!</v>
      </c>
      <c r="F107" s="2297" t="e">
        <f>0.6482/F101</f>
        <v>#DIV/0!</v>
      </c>
      <c r="G107" s="2297" t="e">
        <f>0.6482/G101</f>
        <v>#DIV/0!</v>
      </c>
      <c r="H107" s="2297" t="e">
        <f>0.6482/H101</f>
        <v>#DIV/0!</v>
      </c>
      <c r="I107" s="2297" t="e">
        <f>0.6482/I101</f>
        <v>#DIV/0!</v>
      </c>
      <c r="J107" s="2297" t="e">
        <f>0.4525/J101</f>
        <v>#DIV/0!</v>
      </c>
      <c r="K107" s="2297" t="e">
        <f>0.4525/K101</f>
        <v>#DIV/0!</v>
      </c>
      <c r="L107" s="2297" t="e">
        <f>0.4525/L101</f>
        <v>#DIV/0!</v>
      </c>
      <c r="M107" s="2297" t="e">
        <f>0.4525/M101</f>
        <v>#DIV/0!</v>
      </c>
      <c r="N107" s="2297" t="e">
        <f>0.4525/N101</f>
        <v>#DIV/0!</v>
      </c>
    </row>
    <row r="108" spans="1:14" x14ac:dyDescent="0.2">
      <c r="A108" s="3747"/>
      <c r="B108" s="3749"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x14ac:dyDescent="0.2">
      <c r="A109" s="3748"/>
      <c r="B109" s="3750"/>
      <c r="C109" s="2299" t="e">
        <f>(-0.163*(C108^2)-0.59*C108+7617)*(10^(-4))/C101</f>
        <v>#DIV/0!</v>
      </c>
      <c r="D109" s="2299" t="e">
        <f>(-0.163*(D108^2)-0.59*D108+7617)*(10^(-4))/D101</f>
        <v>#DIV/0!</v>
      </c>
      <c r="E109" s="2299" t="e">
        <f>(-0.161*(E108^2)-7.509*E108+6533)*(10^(-4))/E101</f>
        <v>#DIV/0!</v>
      </c>
      <c r="F109" s="2299" t="e">
        <f>(-0.161*(F108^2)-7.509*F108+6533)*(10^(-4))/F101</f>
        <v>#DIV/0!</v>
      </c>
      <c r="G109" s="2299" t="e">
        <f>(-0.161*(G108^2)-7.509*G108+6533)*(10^(-4))/G101</f>
        <v>#DIV/0!</v>
      </c>
      <c r="H109" s="2299" t="e">
        <f>(-0.161*(H108^2)-7.509*H108+6533)*(10^(-4))/H101</f>
        <v>#DIV/0!</v>
      </c>
      <c r="I109" s="2299" t="e">
        <f>(-0.161*(I108^2)-7.509*I108+6533)*(10^(-4))/I101</f>
        <v>#DIV/0!</v>
      </c>
      <c r="J109" s="2299" t="e">
        <f>(-0.214*(J108^2)-21.991*J108+4665)*(10^(-4))/J101</f>
        <v>#DIV/0!</v>
      </c>
      <c r="K109" s="2299" t="e">
        <f>(-0.214*(K108^2)-21.991*K108+4665)*(10^(-4))/K101</f>
        <v>#DIV/0!</v>
      </c>
      <c r="L109" s="2299" t="e">
        <f>(-0.214*(L108^2)-21.991*L108+4665)*(10^(-4))/L101</f>
        <v>#DIV/0!</v>
      </c>
      <c r="M109" s="2299" t="e">
        <f>(-0.214*(M108^2)-21.991*M108+4665)*(10^(-4))/M101</f>
        <v>#DIV/0!</v>
      </c>
      <c r="N109" s="2299" t="e">
        <f>(-0.214*(N108^2)-21.991*N108+4665)*(10^(-4))/N101</f>
        <v>#DIV/0!</v>
      </c>
    </row>
    <row r="110" spans="1:14" ht="14" x14ac:dyDescent="0.2">
      <c r="A110" s="3744" t="s">
        <v>2558</v>
      </c>
      <c r="B110" s="3744"/>
      <c r="C110" s="3744"/>
      <c r="D110" s="3744"/>
      <c r="E110" s="3744"/>
      <c r="F110" s="3744"/>
      <c r="G110" s="3744"/>
      <c r="H110" s="3744"/>
      <c r="I110" s="3744"/>
      <c r="J110" s="3744"/>
      <c r="K110" s="2302"/>
      <c r="L110" s="2302"/>
      <c r="M110" s="2302"/>
      <c r="N110" s="2302"/>
    </row>
    <row r="112" spans="1:14" ht="14" thickBot="1" x14ac:dyDescent="0.25"/>
    <row r="113" spans="1:13" ht="28" thickBot="1" x14ac:dyDescent="0.25">
      <c r="A113" s="823" t="s">
        <v>2559</v>
      </c>
      <c r="B113" s="1177" t="e">
        <f>G3</f>
        <v>#DIV/0!</v>
      </c>
      <c r="C113" s="824" t="s">
        <v>2560</v>
      </c>
      <c r="D113" s="825" t="e">
        <f>SUMPRODUCT((A115:A118=F113)*(B114:M114=H113)*B115:M118)</f>
        <v>#DIV/0!</v>
      </c>
      <c r="E113" s="2138" t="s">
        <v>2393</v>
      </c>
      <c r="F113" s="2304">
        <f>E2</f>
        <v>0</v>
      </c>
      <c r="G113" s="2138" t="s">
        <v>2394</v>
      </c>
      <c r="H113" s="2304">
        <f>G2</f>
        <v>0</v>
      </c>
      <c r="I113" s="2138"/>
      <c r="J113" s="2305"/>
      <c r="K113" s="2305"/>
      <c r="L113" s="2305"/>
      <c r="M113" s="2305"/>
    </row>
    <row r="114" spans="1:13" ht="14" x14ac:dyDescent="0.2">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ht="14" x14ac:dyDescent="0.2">
      <c r="A115" s="829" t="s">
        <v>2458</v>
      </c>
      <c r="B115" s="830" t="e">
        <f>ROUND(0.9335-0.0094*B113,4)</f>
        <v>#DIV/0!</v>
      </c>
      <c r="C115" s="830" t="e">
        <f>B115</f>
        <v>#DIV/0!</v>
      </c>
      <c r="D115" s="830" t="e">
        <f>ROUND(0.8331-0.0109*B113,4)</f>
        <v>#DIV/0!</v>
      </c>
      <c r="E115" s="830" t="e">
        <f>D115</f>
        <v>#DIV/0!</v>
      </c>
      <c r="F115" s="830" t="e">
        <f>E115</f>
        <v>#DIV/0!</v>
      </c>
      <c r="G115" s="830" t="e">
        <f>F115</f>
        <v>#DIV/0!</v>
      </c>
      <c r="H115" s="830" t="e">
        <f>G115</f>
        <v>#DIV/0!</v>
      </c>
      <c r="I115" s="830" t="e">
        <f>ROUND(0.689-0.0155*B113,4)</f>
        <v>#DIV/0!</v>
      </c>
      <c r="J115" s="830" t="e">
        <f t="shared" ref="J115:M118" si="33">I115</f>
        <v>#DIV/0!</v>
      </c>
      <c r="K115" s="830" t="e">
        <f t="shared" si="33"/>
        <v>#DIV/0!</v>
      </c>
      <c r="L115" s="830" t="e">
        <f t="shared" si="33"/>
        <v>#DIV/0!</v>
      </c>
      <c r="M115" s="831" t="e">
        <f t="shared" si="33"/>
        <v>#DIV/0!</v>
      </c>
    </row>
    <row r="116" spans="1:13" ht="14" x14ac:dyDescent="0.2">
      <c r="A116" s="829" t="s">
        <v>2459</v>
      </c>
      <c r="B116" s="830" t="e">
        <f>ROUND(0.949-0.012*B113,4)</f>
        <v>#DIV/0!</v>
      </c>
      <c r="C116" s="830" t="e">
        <f>B116</f>
        <v>#DIV/0!</v>
      </c>
      <c r="D116" s="830" t="e">
        <f>ROUND(0.8567-0.013*B113,4)</f>
        <v>#DIV/0!</v>
      </c>
      <c r="E116" s="830" t="e">
        <f t="shared" ref="E116:H117" si="34">D116</f>
        <v>#DIV/0!</v>
      </c>
      <c r="F116" s="830" t="e">
        <f t="shared" si="34"/>
        <v>#DIV/0!</v>
      </c>
      <c r="G116" s="830" t="e">
        <f t="shared" si="34"/>
        <v>#DIV/0!</v>
      </c>
      <c r="H116" s="830" t="e">
        <f t="shared" si="34"/>
        <v>#DIV/0!</v>
      </c>
      <c r="I116" s="830" t="e">
        <f>ROUND(0.7694-0.014*B113,4)</f>
        <v>#DIV/0!</v>
      </c>
      <c r="J116" s="830" t="e">
        <f t="shared" si="33"/>
        <v>#DIV/0!</v>
      </c>
      <c r="K116" s="830" t="e">
        <f t="shared" si="33"/>
        <v>#DIV/0!</v>
      </c>
      <c r="L116" s="830" t="e">
        <f t="shared" si="33"/>
        <v>#DIV/0!</v>
      </c>
      <c r="M116" s="831" t="e">
        <f t="shared" si="33"/>
        <v>#DIV/0!</v>
      </c>
    </row>
    <row r="117" spans="1:13" ht="14" x14ac:dyDescent="0.2">
      <c r="A117" s="829" t="s">
        <v>2460</v>
      </c>
      <c r="B117" s="830" t="e">
        <f>ROUND(0.8808-0.006*B113,4)</f>
        <v>#DIV/0!</v>
      </c>
      <c r="C117" s="830" t="e">
        <f>B117</f>
        <v>#DIV/0!</v>
      </c>
      <c r="D117" s="830" t="e">
        <f>ROUND(0.8748-0.008*B113,4)</f>
        <v>#DIV/0!</v>
      </c>
      <c r="E117" s="830" t="e">
        <f t="shared" si="34"/>
        <v>#DIV/0!</v>
      </c>
      <c r="F117" s="830" t="e">
        <f t="shared" si="34"/>
        <v>#DIV/0!</v>
      </c>
      <c r="G117" s="830" t="e">
        <f t="shared" si="34"/>
        <v>#DIV/0!</v>
      </c>
      <c r="H117" s="830" t="e">
        <f t="shared" si="34"/>
        <v>#DIV/0!</v>
      </c>
      <c r="I117" s="830" t="e">
        <f>ROUND(0.7412-0.0095*B113,4)</f>
        <v>#DIV/0!</v>
      </c>
      <c r="J117" s="830" t="e">
        <f t="shared" si="33"/>
        <v>#DIV/0!</v>
      </c>
      <c r="K117" s="830" t="e">
        <f t="shared" si="33"/>
        <v>#DIV/0!</v>
      </c>
      <c r="L117" s="830" t="e">
        <f t="shared" si="33"/>
        <v>#DIV/0!</v>
      </c>
      <c r="M117" s="831" t="e">
        <f t="shared" si="33"/>
        <v>#DIV/0!</v>
      </c>
    </row>
    <row r="118" spans="1:13" ht="15" thickBot="1" x14ac:dyDescent="0.25">
      <c r="A118" s="669" t="s">
        <v>2461</v>
      </c>
      <c r="B118" s="832" t="e">
        <f>ROUND(0.7275-0.01*B113,4)</f>
        <v>#DIV/0!</v>
      </c>
      <c r="C118" s="832" t="e">
        <f>B118</f>
        <v>#DIV/0!</v>
      </c>
      <c r="D118" s="832" t="e">
        <f>ROUND(0.7043-0.012*B113,4)</f>
        <v>#DIV/0!</v>
      </c>
      <c r="E118" s="832" t="e">
        <f>D118</f>
        <v>#DIV/0!</v>
      </c>
      <c r="F118" s="832" t="e">
        <f>E118</f>
        <v>#DIV/0!</v>
      </c>
      <c r="G118" s="832" t="e">
        <f>ROUND(0.6299-0.0122*B113,4)</f>
        <v>#DIV/0!</v>
      </c>
      <c r="H118" s="832" t="e">
        <f>G118</f>
        <v>#DIV/0!</v>
      </c>
      <c r="I118" s="832" t="e">
        <f>ROUND(0.5667-0.0136*B113,4)</f>
        <v>#DIV/0!</v>
      </c>
      <c r="J118" s="832" t="e">
        <f t="shared" si="33"/>
        <v>#DIV/0!</v>
      </c>
      <c r="K118" s="832" t="e">
        <f t="shared" si="33"/>
        <v>#DIV/0!</v>
      </c>
      <c r="L118" s="832" t="e">
        <f t="shared" si="33"/>
        <v>#DIV/0!</v>
      </c>
      <c r="M118" s="833"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baseColWidth="10" defaultColWidth="14.33203125" defaultRowHeight="19.5" customHeight="1" x14ac:dyDescent="0.2"/>
  <cols>
    <col min="1" max="1" width="14.33203125" style="754"/>
    <col min="2" max="9" width="14.33203125" style="800"/>
    <col min="10" max="16384" width="14.33203125" style="754"/>
  </cols>
  <sheetData>
    <row r="1" spans="1:13" ht="19.5" customHeight="1" thickBot="1" x14ac:dyDescent="0.25">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x14ac:dyDescent="0.2">
      <c r="A2" s="3186" t="s">
        <v>2946</v>
      </c>
      <c r="B2" s="3187">
        <v>3.5</v>
      </c>
      <c r="C2" s="3187">
        <v>3.5</v>
      </c>
      <c r="D2" s="3188">
        <v>2.5</v>
      </c>
      <c r="E2" s="3188">
        <v>2.5</v>
      </c>
      <c r="F2" s="3188">
        <v>2.5</v>
      </c>
      <c r="G2" s="3188">
        <v>2.5</v>
      </c>
      <c r="H2" s="3188">
        <v>2.5</v>
      </c>
      <c r="I2" s="3187">
        <v>2</v>
      </c>
      <c r="J2" s="3187">
        <v>2</v>
      </c>
      <c r="K2" s="3187">
        <v>2</v>
      </c>
      <c r="L2" s="3187">
        <v>2</v>
      </c>
      <c r="M2" s="3189">
        <v>2</v>
      </c>
    </row>
    <row r="3" spans="1:13" ht="19.5" customHeight="1" x14ac:dyDescent="0.2">
      <c r="A3" s="3190" t="s">
        <v>2947</v>
      </c>
      <c r="B3" s="3191">
        <v>3.5</v>
      </c>
      <c r="C3" s="3191">
        <v>3.5</v>
      </c>
      <c r="D3" s="3192">
        <v>2.5</v>
      </c>
      <c r="E3" s="3192">
        <v>2.5</v>
      </c>
      <c r="F3" s="3192">
        <v>2.5</v>
      </c>
      <c r="G3" s="3192">
        <v>2.5</v>
      </c>
      <c r="H3" s="3192">
        <v>2.5</v>
      </c>
      <c r="I3" s="3191">
        <v>2</v>
      </c>
      <c r="J3" s="3191">
        <v>2</v>
      </c>
      <c r="K3" s="3191">
        <v>2</v>
      </c>
      <c r="L3" s="3191">
        <v>2</v>
      </c>
      <c r="M3" s="3193">
        <v>2</v>
      </c>
    </row>
    <row r="4" spans="1:13" ht="19.5" customHeight="1" x14ac:dyDescent="0.2">
      <c r="A4" s="3190" t="s">
        <v>2948</v>
      </c>
      <c r="B4" s="3192">
        <v>2.5</v>
      </c>
      <c r="C4" s="3192">
        <v>2.5</v>
      </c>
      <c r="D4" s="3192">
        <v>2.5</v>
      </c>
      <c r="E4" s="3192">
        <v>2.5</v>
      </c>
      <c r="F4" s="3192">
        <v>2.5</v>
      </c>
      <c r="G4" s="3192">
        <v>2.5</v>
      </c>
      <c r="H4" s="3192">
        <v>2.5</v>
      </c>
      <c r="I4" s="3191">
        <v>1.5</v>
      </c>
      <c r="J4" s="3191">
        <v>1.5</v>
      </c>
      <c r="K4" s="3191">
        <v>1.5</v>
      </c>
      <c r="L4" s="3191">
        <v>1.5</v>
      </c>
      <c r="M4" s="3193">
        <v>1.5</v>
      </c>
    </row>
    <row r="5" spans="1:13" ht="19.5" customHeight="1" x14ac:dyDescent="0.2">
      <c r="A5" s="3194" t="s">
        <v>2949</v>
      </c>
      <c r="B5" s="3191">
        <v>1.5</v>
      </c>
      <c r="C5" s="3191">
        <v>1.5</v>
      </c>
      <c r="D5" s="3191">
        <v>1.5</v>
      </c>
      <c r="E5" s="3191">
        <v>1.5</v>
      </c>
      <c r="F5" s="3191">
        <v>1.5</v>
      </c>
      <c r="G5" s="3191">
        <v>1.2</v>
      </c>
      <c r="H5" s="3191">
        <v>1.2</v>
      </c>
      <c r="I5" s="3191">
        <v>1</v>
      </c>
      <c r="J5" s="3191">
        <v>1</v>
      </c>
      <c r="K5" s="3191">
        <v>1</v>
      </c>
      <c r="L5" s="3191">
        <v>1</v>
      </c>
      <c r="M5" s="3193">
        <v>1</v>
      </c>
    </row>
    <row r="6" spans="1:13" ht="19.5" customHeight="1" x14ac:dyDescent="0.2">
      <c r="A6" s="3195" t="s">
        <v>2950</v>
      </c>
      <c r="B6" s="3196">
        <v>2.5</v>
      </c>
      <c r="C6" s="3196">
        <v>2.5</v>
      </c>
      <c r="D6" s="3196">
        <v>2</v>
      </c>
      <c r="E6" s="3196">
        <v>2</v>
      </c>
      <c r="F6" s="3196">
        <v>2</v>
      </c>
      <c r="G6" s="3196">
        <v>2</v>
      </c>
      <c r="H6" s="3196">
        <v>2</v>
      </c>
      <c r="I6" s="3197">
        <v>1.5</v>
      </c>
      <c r="J6" s="3197">
        <v>1.5</v>
      </c>
      <c r="K6" s="3197">
        <v>1.5</v>
      </c>
      <c r="L6" s="3197">
        <v>1.5</v>
      </c>
      <c r="M6" s="3198">
        <v>1.5</v>
      </c>
    </row>
    <row r="7" spans="1:13" ht="19.5" customHeight="1" thickBot="1" x14ac:dyDescent="0.25">
      <c r="A7" s="3199" t="s">
        <v>2951</v>
      </c>
      <c r="B7" s="3200">
        <v>2.5</v>
      </c>
      <c r="C7" s="3200">
        <v>2.5</v>
      </c>
      <c r="D7" s="3200">
        <v>2</v>
      </c>
      <c r="E7" s="3200">
        <v>2</v>
      </c>
      <c r="F7" s="3200">
        <v>2</v>
      </c>
      <c r="G7" s="3200">
        <v>2</v>
      </c>
      <c r="H7" s="3200">
        <v>2</v>
      </c>
      <c r="I7" s="3201">
        <v>1.5</v>
      </c>
      <c r="J7" s="3201">
        <v>1.5</v>
      </c>
      <c r="K7" s="3201">
        <v>1.5</v>
      </c>
      <c r="L7" s="3201">
        <v>1.5</v>
      </c>
      <c r="M7" s="3202">
        <v>1.5</v>
      </c>
    </row>
    <row r="8" spans="1:13" ht="19.5" customHeight="1" x14ac:dyDescent="0.2">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x14ac:dyDescent="0.2">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x14ac:dyDescent="0.2">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x14ac:dyDescent="0.2">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x14ac:dyDescent="0.2">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x14ac:dyDescent="0.2">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x14ac:dyDescent="0.2">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x14ac:dyDescent="0.2">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x14ac:dyDescent="0.2">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x14ac:dyDescent="0.2">
      <c r="A17" s="756" t="s">
        <v>2624</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x14ac:dyDescent="0.2">
      <c r="A18" s="798" t="s">
        <v>555</v>
      </c>
      <c r="B18" s="798"/>
      <c r="C18" s="799"/>
      <c r="D18" s="799"/>
      <c r="E18" s="798"/>
      <c r="F18" s="799"/>
      <c r="G18" s="799"/>
    </row>
    <row r="19" spans="1:13" ht="19.5" customHeight="1" thickBot="1" x14ac:dyDescent="0.25">
      <c r="A19" s="3207" t="s">
        <v>2952</v>
      </c>
      <c r="B19" s="3209" t="s">
        <v>2953</v>
      </c>
      <c r="C19" s="3210" t="s">
        <v>2954</v>
      </c>
      <c r="D19" s="3211"/>
      <c r="E19" s="3205" t="s">
        <v>2955</v>
      </c>
      <c r="F19" s="802"/>
      <c r="G19" s="802"/>
    </row>
    <row r="20" spans="1:13" s="807" customFormat="1" ht="19.5" customHeight="1" x14ac:dyDescent="0.2">
      <c r="A20" s="3766" t="s">
        <v>2956</v>
      </c>
      <c r="B20" s="3761" t="s">
        <v>2957</v>
      </c>
      <c r="C20" s="3212" t="s">
        <v>2958</v>
      </c>
      <c r="D20" s="3213"/>
      <c r="E20" s="3214">
        <v>1</v>
      </c>
      <c r="F20" s="3215" t="s">
        <v>2959</v>
      </c>
      <c r="G20" s="806"/>
      <c r="H20" s="800"/>
      <c r="I20" s="800"/>
    </row>
    <row r="21" spans="1:13" s="807" customFormat="1" ht="19.5" customHeight="1" x14ac:dyDescent="0.2">
      <c r="A21" s="3767"/>
      <c r="B21" s="3760"/>
      <c r="C21" s="804" t="s">
        <v>2960</v>
      </c>
      <c r="D21" s="805"/>
      <c r="E21" s="3216">
        <v>1</v>
      </c>
      <c r="F21" s="3215" t="s">
        <v>2961</v>
      </c>
      <c r="G21" s="806"/>
      <c r="H21" s="800"/>
      <c r="I21" s="800"/>
    </row>
    <row r="22" spans="1:13" s="807" customFormat="1" ht="19.5" customHeight="1" x14ac:dyDescent="0.2">
      <c r="A22" s="3767"/>
      <c r="B22" s="3760"/>
      <c r="C22" s="804" t="s">
        <v>2962</v>
      </c>
      <c r="D22" s="805"/>
      <c r="E22" s="3216">
        <v>0.9</v>
      </c>
      <c r="F22" s="3215" t="s">
        <v>2963</v>
      </c>
      <c r="G22" s="806"/>
      <c r="H22" s="800"/>
      <c r="I22" s="800"/>
    </row>
    <row r="23" spans="1:13" s="807" customFormat="1" ht="19.5" customHeight="1" x14ac:dyDescent="0.2">
      <c r="A23" s="3767"/>
      <c r="B23" s="3760"/>
      <c r="C23" s="804" t="s">
        <v>2964</v>
      </c>
      <c r="D23" s="805"/>
      <c r="E23" s="3216">
        <v>0.9</v>
      </c>
      <c r="F23" s="3215" t="s">
        <v>2965</v>
      </c>
      <c r="G23" s="806"/>
      <c r="H23" s="800"/>
      <c r="I23" s="800"/>
    </row>
    <row r="24" spans="1:13" s="807" customFormat="1" ht="19.5" customHeight="1" x14ac:dyDescent="0.2">
      <c r="A24" s="3767"/>
      <c r="B24" s="3760"/>
      <c r="C24" s="804" t="s">
        <v>2966</v>
      </c>
      <c r="D24" s="805"/>
      <c r="E24" s="3216">
        <v>0.8</v>
      </c>
      <c r="F24" s="3215" t="s">
        <v>2967</v>
      </c>
      <c r="G24" s="806"/>
      <c r="H24" s="800"/>
      <c r="I24" s="800"/>
    </row>
    <row r="25" spans="1:13" s="807" customFormat="1" ht="19.5" customHeight="1" thickBot="1" x14ac:dyDescent="0.25">
      <c r="A25" s="3768"/>
      <c r="B25" s="3762"/>
      <c r="C25" s="3217" t="s">
        <v>2968</v>
      </c>
      <c r="D25" s="3218"/>
      <c r="E25" s="3219">
        <v>0.8</v>
      </c>
      <c r="F25" s="3215" t="s">
        <v>2969</v>
      </c>
      <c r="G25" s="806"/>
      <c r="H25" s="800"/>
      <c r="I25" s="800"/>
    </row>
    <row r="26" spans="1:13" s="807" customFormat="1" ht="19.5" customHeight="1" thickBot="1" x14ac:dyDescent="0.25">
      <c r="A26" s="3220" t="s">
        <v>2970</v>
      </c>
      <c r="B26" s="3221" t="s">
        <v>2957</v>
      </c>
      <c r="C26" s="3222" t="s">
        <v>2971</v>
      </c>
      <c r="D26" s="3223"/>
      <c r="E26" s="3224">
        <v>1</v>
      </c>
      <c r="F26" s="3215" t="s">
        <v>2972</v>
      </c>
      <c r="G26" s="806"/>
      <c r="H26" s="800"/>
      <c r="I26" s="800"/>
    </row>
    <row r="27" spans="1:13" s="807" customFormat="1" ht="19.5" customHeight="1" x14ac:dyDescent="0.2">
      <c r="A27" s="3763" t="s">
        <v>2973</v>
      </c>
      <c r="B27" s="3761" t="s">
        <v>2973</v>
      </c>
      <c r="C27" s="3212" t="s">
        <v>2974</v>
      </c>
      <c r="D27" s="3213"/>
      <c r="E27" s="3214">
        <v>1</v>
      </c>
      <c r="F27" s="3215" t="s">
        <v>2975</v>
      </c>
      <c r="G27" s="806"/>
      <c r="H27" s="800"/>
      <c r="I27" s="800"/>
    </row>
    <row r="28" spans="1:13" s="807" customFormat="1" ht="19.5" customHeight="1" x14ac:dyDescent="0.2">
      <c r="A28" s="3764"/>
      <c r="B28" s="3760"/>
      <c r="C28" s="804" t="s">
        <v>2976</v>
      </c>
      <c r="D28" s="805"/>
      <c r="E28" s="3216">
        <v>1</v>
      </c>
      <c r="F28" s="3215" t="s">
        <v>2977</v>
      </c>
      <c r="G28" s="806"/>
      <c r="H28" s="800"/>
      <c r="I28" s="800"/>
    </row>
    <row r="29" spans="1:13" s="807" customFormat="1" ht="19.5" customHeight="1" x14ac:dyDescent="0.2">
      <c r="A29" s="3764"/>
      <c r="B29" s="3760"/>
      <c r="C29" s="804" t="s">
        <v>2978</v>
      </c>
      <c r="D29" s="805"/>
      <c r="E29" s="3216">
        <v>0.8</v>
      </c>
      <c r="F29" s="3215" t="s">
        <v>2979</v>
      </c>
      <c r="G29" s="806"/>
      <c r="H29" s="800"/>
      <c r="I29" s="800"/>
    </row>
    <row r="30" spans="1:13" s="807" customFormat="1" ht="19.5" customHeight="1" x14ac:dyDescent="0.2">
      <c r="A30" s="3764"/>
      <c r="B30" s="3760"/>
      <c r="C30" s="804" t="s">
        <v>2980</v>
      </c>
      <c r="D30" s="805"/>
      <c r="E30" s="3216">
        <v>0.8</v>
      </c>
      <c r="F30" s="3215" t="s">
        <v>2981</v>
      </c>
      <c r="G30" s="806"/>
      <c r="H30" s="800"/>
      <c r="I30" s="800"/>
    </row>
    <row r="31" spans="1:13" s="807" customFormat="1" ht="19.5" customHeight="1" x14ac:dyDescent="0.2">
      <c r="A31" s="3764"/>
      <c r="B31" s="3760"/>
      <c r="C31" s="804" t="s">
        <v>2982</v>
      </c>
      <c r="D31" s="805"/>
      <c r="E31" s="3216">
        <v>0.8</v>
      </c>
      <c r="F31" s="3215" t="s">
        <v>2983</v>
      </c>
      <c r="G31" s="806"/>
      <c r="H31" s="800"/>
      <c r="I31" s="800"/>
    </row>
    <row r="32" spans="1:13" s="807" customFormat="1" ht="19.5" customHeight="1" x14ac:dyDescent="0.2">
      <c r="A32" s="3764"/>
      <c r="B32" s="3760"/>
      <c r="C32" s="804" t="s">
        <v>2984</v>
      </c>
      <c r="D32" s="805"/>
      <c r="E32" s="3216">
        <v>0.7</v>
      </c>
      <c r="F32" s="3215" t="s">
        <v>2985</v>
      </c>
      <c r="G32" s="806"/>
      <c r="H32" s="800"/>
      <c r="I32" s="800"/>
    </row>
    <row r="33" spans="1:9" s="807" customFormat="1" ht="19.5" customHeight="1" x14ac:dyDescent="0.2">
      <c r="A33" s="3764"/>
      <c r="B33" s="3760"/>
      <c r="C33" s="804" t="s">
        <v>2986</v>
      </c>
      <c r="D33" s="805"/>
      <c r="E33" s="3216">
        <v>0.8</v>
      </c>
      <c r="F33" s="3215" t="s">
        <v>2987</v>
      </c>
      <c r="G33" s="806"/>
      <c r="H33" s="800"/>
      <c r="I33" s="800"/>
    </row>
    <row r="34" spans="1:9" s="807" customFormat="1" ht="19.5" customHeight="1" x14ac:dyDescent="0.2">
      <c r="A34" s="3764"/>
      <c r="B34" s="3760"/>
      <c r="C34" s="804" t="s">
        <v>2988</v>
      </c>
      <c r="D34" s="805"/>
      <c r="E34" s="3216">
        <v>0.6</v>
      </c>
      <c r="F34" s="3215" t="s">
        <v>2989</v>
      </c>
      <c r="G34" s="806"/>
      <c r="H34" s="800"/>
      <c r="I34" s="800"/>
    </row>
    <row r="35" spans="1:9" s="807" customFormat="1" ht="19.5" customHeight="1" x14ac:dyDescent="0.2">
      <c r="A35" s="3764"/>
      <c r="B35" s="3760"/>
      <c r="C35" s="804" t="s">
        <v>2990</v>
      </c>
      <c r="D35" s="805"/>
      <c r="E35" s="3216">
        <v>0.2</v>
      </c>
      <c r="F35" s="3215" t="s">
        <v>2991</v>
      </c>
      <c r="G35" s="806"/>
      <c r="H35" s="800"/>
      <c r="I35" s="800"/>
    </row>
    <row r="36" spans="1:9" s="807" customFormat="1" ht="19.5" customHeight="1" x14ac:dyDescent="0.2">
      <c r="A36" s="3764"/>
      <c r="B36" s="3760"/>
      <c r="C36" s="804" t="s">
        <v>2992</v>
      </c>
      <c r="D36" s="805"/>
      <c r="E36" s="3216">
        <v>0.2</v>
      </c>
      <c r="F36" s="3215" t="s">
        <v>2993</v>
      </c>
      <c r="G36" s="806"/>
      <c r="H36" s="800"/>
      <c r="I36" s="800"/>
    </row>
    <row r="37" spans="1:9" s="807" customFormat="1" ht="19.5" customHeight="1" x14ac:dyDescent="0.2">
      <c r="A37" s="3764"/>
      <c r="B37" s="3758" t="s">
        <v>2994</v>
      </c>
      <c r="C37" s="804" t="s">
        <v>2995</v>
      </c>
      <c r="D37" s="805"/>
      <c r="E37" s="3216">
        <v>0.6</v>
      </c>
      <c r="F37" s="3215" t="s">
        <v>2996</v>
      </c>
      <c r="G37" s="806"/>
      <c r="H37" s="800"/>
      <c r="I37" s="800"/>
    </row>
    <row r="38" spans="1:9" s="807" customFormat="1" ht="19.5" customHeight="1" x14ac:dyDescent="0.2">
      <c r="A38" s="3764"/>
      <c r="B38" s="3760"/>
      <c r="C38" s="804" t="s">
        <v>2997</v>
      </c>
      <c r="D38" s="805"/>
      <c r="E38" s="3216">
        <v>0.6</v>
      </c>
      <c r="F38" s="3215" t="s">
        <v>2998</v>
      </c>
      <c r="G38" s="806"/>
      <c r="H38" s="800"/>
      <c r="I38" s="800"/>
    </row>
    <row r="39" spans="1:9" s="807" customFormat="1" ht="19.5" customHeight="1" thickBot="1" x14ac:dyDescent="0.25">
      <c r="A39" s="3765"/>
      <c r="B39" s="3762"/>
      <c r="C39" s="3217" t="s">
        <v>2999</v>
      </c>
      <c r="D39" s="3218"/>
      <c r="E39" s="3219">
        <v>0.6</v>
      </c>
      <c r="F39" s="3215" t="s">
        <v>3000</v>
      </c>
      <c r="G39" s="806"/>
      <c r="H39" s="800"/>
      <c r="I39" s="800"/>
    </row>
    <row r="40" spans="1:9" s="807" customFormat="1" ht="19.5" customHeight="1" thickBot="1" x14ac:dyDescent="0.25">
      <c r="A40" s="3220" t="s">
        <v>3001</v>
      </c>
      <c r="B40" s="3221" t="s">
        <v>3001</v>
      </c>
      <c r="C40" s="3222" t="s">
        <v>3002</v>
      </c>
      <c r="D40" s="3223"/>
      <c r="E40" s="3224">
        <v>1</v>
      </c>
      <c r="F40" s="3215" t="s">
        <v>3003</v>
      </c>
      <c r="G40" s="806"/>
      <c r="H40" s="800"/>
      <c r="I40" s="800"/>
    </row>
    <row r="41" spans="1:9" s="807" customFormat="1" ht="19.5" customHeight="1" x14ac:dyDescent="0.2">
      <c r="A41" s="3766" t="s">
        <v>3004</v>
      </c>
      <c r="B41" s="3761" t="s">
        <v>3005</v>
      </c>
      <c r="C41" s="3212" t="s">
        <v>3006</v>
      </c>
      <c r="D41" s="3213"/>
      <c r="E41" s="3214">
        <v>1</v>
      </c>
      <c r="F41" s="3215" t="s">
        <v>3007</v>
      </c>
      <c r="G41" s="806"/>
      <c r="H41" s="800"/>
      <c r="I41" s="800"/>
    </row>
    <row r="42" spans="1:9" s="807" customFormat="1" ht="19.5" customHeight="1" x14ac:dyDescent="0.2">
      <c r="A42" s="3767"/>
      <c r="B42" s="3760"/>
      <c r="C42" s="804" t="s">
        <v>3008</v>
      </c>
      <c r="D42" s="805"/>
      <c r="E42" s="3216">
        <v>1</v>
      </c>
      <c r="F42" s="3215" t="s">
        <v>3009</v>
      </c>
      <c r="G42" s="806"/>
      <c r="H42" s="800"/>
      <c r="I42" s="800"/>
    </row>
    <row r="43" spans="1:9" s="807" customFormat="1" ht="19.5" customHeight="1" x14ac:dyDescent="0.2">
      <c r="A43" s="3767"/>
      <c r="B43" s="3759"/>
      <c r="C43" s="804" t="s">
        <v>3010</v>
      </c>
      <c r="D43" s="805"/>
      <c r="E43" s="3216">
        <v>1.5</v>
      </c>
      <c r="F43" s="3215" t="s">
        <v>3011</v>
      </c>
      <c r="G43" s="806"/>
      <c r="H43" s="800"/>
      <c r="I43" s="800"/>
    </row>
    <row r="44" spans="1:9" s="807" customFormat="1" ht="19.5" customHeight="1" x14ac:dyDescent="0.2">
      <c r="A44" s="3767"/>
      <c r="B44" s="3225" t="s">
        <v>2973</v>
      </c>
      <c r="C44" s="804" t="s">
        <v>3012</v>
      </c>
      <c r="D44" s="805"/>
      <c r="E44" s="3216">
        <v>2</v>
      </c>
      <c r="F44" s="3215" t="s">
        <v>3013</v>
      </c>
      <c r="G44" s="806"/>
      <c r="H44" s="800"/>
      <c r="I44" s="800"/>
    </row>
    <row r="45" spans="1:9" s="807" customFormat="1" ht="19.5" customHeight="1" x14ac:dyDescent="0.2">
      <c r="A45" s="3767"/>
      <c r="B45" s="3758" t="s">
        <v>3014</v>
      </c>
      <c r="C45" s="804" t="s">
        <v>3015</v>
      </c>
      <c r="D45" s="805"/>
      <c r="E45" s="3216">
        <v>1</v>
      </c>
      <c r="F45" s="3215" t="s">
        <v>3016</v>
      </c>
      <c r="G45" s="806"/>
      <c r="H45" s="800"/>
      <c r="I45" s="800"/>
    </row>
    <row r="46" spans="1:9" s="807" customFormat="1" ht="19.5" customHeight="1" x14ac:dyDescent="0.2">
      <c r="A46" s="3767"/>
      <c r="B46" s="3760"/>
      <c r="C46" s="804" t="s">
        <v>3017</v>
      </c>
      <c r="D46" s="805"/>
      <c r="E46" s="3216">
        <v>1</v>
      </c>
      <c r="F46" s="3215" t="s">
        <v>3018</v>
      </c>
      <c r="G46" s="806"/>
      <c r="H46" s="800"/>
      <c r="I46" s="800"/>
    </row>
    <row r="47" spans="1:9" s="807" customFormat="1" ht="19.5" customHeight="1" x14ac:dyDescent="0.2">
      <c r="A47" s="3767"/>
      <c r="B47" s="3760"/>
      <c r="C47" s="804" t="s">
        <v>3019</v>
      </c>
      <c r="D47" s="805"/>
      <c r="E47" s="3216">
        <v>1</v>
      </c>
      <c r="F47" s="3215" t="s">
        <v>3020</v>
      </c>
      <c r="G47" s="806"/>
      <c r="H47" s="800"/>
      <c r="I47" s="800"/>
    </row>
    <row r="48" spans="1:9" s="807" customFormat="1" ht="19.5" customHeight="1" x14ac:dyDescent="0.2">
      <c r="A48" s="3767"/>
      <c r="B48" s="3760"/>
      <c r="C48" s="804" t="s">
        <v>3021</v>
      </c>
      <c r="D48" s="805"/>
      <c r="E48" s="3216">
        <v>1</v>
      </c>
      <c r="F48" s="3215" t="s">
        <v>3022</v>
      </c>
      <c r="G48" s="806"/>
      <c r="H48" s="800"/>
      <c r="I48" s="800"/>
    </row>
    <row r="49" spans="1:9" s="807" customFormat="1" ht="19.5" customHeight="1" x14ac:dyDescent="0.2">
      <c r="A49" s="3767"/>
      <c r="B49" s="3760"/>
      <c r="C49" s="804" t="s">
        <v>3023</v>
      </c>
      <c r="D49" s="805"/>
      <c r="E49" s="3216">
        <v>1</v>
      </c>
      <c r="F49" s="3215" t="s">
        <v>3024</v>
      </c>
      <c r="G49" s="806"/>
      <c r="H49" s="800"/>
      <c r="I49" s="800"/>
    </row>
    <row r="50" spans="1:9" s="807" customFormat="1" ht="19.5" customHeight="1" x14ac:dyDescent="0.2">
      <c r="A50" s="3767"/>
      <c r="B50" s="3760"/>
      <c r="C50" s="804" t="s">
        <v>3025</v>
      </c>
      <c r="D50" s="805"/>
      <c r="E50" s="3216">
        <v>1</v>
      </c>
      <c r="F50" s="3215" t="s">
        <v>3026</v>
      </c>
      <c r="G50" s="806"/>
      <c r="H50" s="800"/>
      <c r="I50" s="800"/>
    </row>
    <row r="51" spans="1:9" s="807" customFormat="1" ht="19.5" customHeight="1" thickBot="1" x14ac:dyDescent="0.25">
      <c r="A51" s="3768"/>
      <c r="B51" s="3762"/>
      <c r="C51" s="3217" t="s">
        <v>3027</v>
      </c>
      <c r="D51" s="3218"/>
      <c r="E51" s="3219">
        <v>1</v>
      </c>
      <c r="F51" s="3215" t="s">
        <v>3028</v>
      </c>
      <c r="G51" s="806"/>
      <c r="H51" s="800"/>
      <c r="I51" s="800"/>
    </row>
    <row r="52" spans="1:9" s="807" customFormat="1" ht="19.5" customHeight="1" x14ac:dyDescent="0.2">
      <c r="A52" s="808"/>
      <c r="B52" s="808"/>
      <c r="C52" s="808"/>
      <c r="D52" s="808"/>
      <c r="E52" s="808"/>
      <c r="F52" s="809"/>
      <c r="G52" s="809"/>
      <c r="H52" s="800"/>
      <c r="I52" s="800"/>
    </row>
    <row r="54" spans="1:9" ht="19.5" customHeight="1" x14ac:dyDescent="0.2">
      <c r="A54" s="810"/>
      <c r="B54" s="756" t="s">
        <v>556</v>
      </c>
      <c r="C54" s="756" t="s">
        <v>556</v>
      </c>
      <c r="D54" s="756" t="s">
        <v>556</v>
      </c>
      <c r="E54" s="761" t="s">
        <v>556</v>
      </c>
      <c r="F54" s="761" t="s">
        <v>557</v>
      </c>
      <c r="G54" s="761" t="s">
        <v>556</v>
      </c>
      <c r="I54" s="754"/>
    </row>
    <row r="55" spans="1:9" ht="19.5" customHeight="1" x14ac:dyDescent="0.2">
      <c r="A55" s="811"/>
      <c r="B55" s="761" t="s">
        <v>183</v>
      </c>
      <c r="C55" s="761" t="s">
        <v>183</v>
      </c>
      <c r="D55" s="761" t="s">
        <v>183</v>
      </c>
      <c r="E55" s="756" t="s">
        <v>184</v>
      </c>
      <c r="F55" s="756" t="s">
        <v>185</v>
      </c>
      <c r="G55" s="756" t="s">
        <v>558</v>
      </c>
      <c r="I55" s="754"/>
    </row>
    <row r="56" spans="1:9" ht="19.5" customHeight="1" x14ac:dyDescent="0.2">
      <c r="A56" s="812"/>
      <c r="B56" s="756">
        <v>1</v>
      </c>
      <c r="C56" s="756">
        <v>2</v>
      </c>
      <c r="D56" s="756">
        <v>3</v>
      </c>
      <c r="E56" s="801" t="s">
        <v>559</v>
      </c>
      <c r="F56" s="801" t="s">
        <v>559</v>
      </c>
      <c r="G56" s="801" t="s">
        <v>559</v>
      </c>
      <c r="I56" s="754"/>
    </row>
    <row r="57" spans="1:9" ht="19.5" customHeight="1" x14ac:dyDescent="0.2">
      <c r="A57" s="813" t="s">
        <v>157</v>
      </c>
      <c r="B57" s="3205">
        <v>0.7</v>
      </c>
      <c r="C57" s="3205">
        <v>0.4</v>
      </c>
      <c r="D57" s="3205">
        <v>0.3</v>
      </c>
      <c r="E57" s="3211">
        <v>0.3</v>
      </c>
      <c r="F57" s="3205">
        <v>0.3</v>
      </c>
      <c r="G57" s="3205">
        <v>0.2</v>
      </c>
      <c r="I57" s="754"/>
    </row>
    <row r="58" spans="1:9" ht="19.5" customHeight="1" x14ac:dyDescent="0.2">
      <c r="A58" s="813" t="s">
        <v>158</v>
      </c>
      <c r="B58" s="3205">
        <v>0.7</v>
      </c>
      <c r="C58" s="3205">
        <v>0.4</v>
      </c>
      <c r="D58" s="3205">
        <v>0.3</v>
      </c>
      <c r="E58" s="3205">
        <v>0.3</v>
      </c>
      <c r="F58" s="3205">
        <v>0.3</v>
      </c>
      <c r="G58" s="3205">
        <v>0.2</v>
      </c>
      <c r="I58" s="754"/>
    </row>
    <row r="59" spans="1:9" ht="19.5" customHeight="1" x14ac:dyDescent="0.2">
      <c r="A59" s="813" t="s">
        <v>159</v>
      </c>
      <c r="B59" s="3205">
        <v>0.6</v>
      </c>
      <c r="C59" s="3205">
        <v>0.3</v>
      </c>
      <c r="D59" s="3205">
        <v>0.25</v>
      </c>
      <c r="E59" s="3205">
        <v>0.25</v>
      </c>
      <c r="F59" s="3205">
        <v>0.25</v>
      </c>
      <c r="G59" s="3205">
        <v>0.15</v>
      </c>
      <c r="I59" s="754"/>
    </row>
    <row r="60" spans="1:9" ht="19.5" customHeight="1" x14ac:dyDescent="0.2">
      <c r="A60" s="813" t="s">
        <v>160</v>
      </c>
      <c r="B60" s="3205">
        <v>0.6</v>
      </c>
      <c r="C60" s="3205">
        <v>0.3</v>
      </c>
      <c r="D60" s="3205">
        <v>0.25</v>
      </c>
      <c r="E60" s="3205">
        <v>0.25</v>
      </c>
      <c r="F60" s="3205">
        <v>0.25</v>
      </c>
      <c r="G60" s="3205">
        <v>0.15</v>
      </c>
      <c r="I60" s="754"/>
    </row>
    <row r="61" spans="1:9" s="800" customFormat="1" ht="19.5" customHeight="1" x14ac:dyDescent="0.2">
      <c r="A61" s="813" t="s">
        <v>161</v>
      </c>
      <c r="B61" s="3205">
        <v>0.6</v>
      </c>
      <c r="C61" s="3205">
        <v>0.3</v>
      </c>
      <c r="D61" s="3205">
        <v>0.25</v>
      </c>
      <c r="E61" s="3205">
        <v>0.25</v>
      </c>
      <c r="F61" s="3205">
        <v>0.25</v>
      </c>
      <c r="G61" s="3205">
        <v>0.15</v>
      </c>
    </row>
    <row r="62" spans="1:9" s="800" customFormat="1" ht="19.5" customHeight="1" x14ac:dyDescent="0.2">
      <c r="A62" s="813" t="s">
        <v>162</v>
      </c>
      <c r="B62" s="3205">
        <v>0.6</v>
      </c>
      <c r="C62" s="3205">
        <v>0.3</v>
      </c>
      <c r="D62" s="3205">
        <v>0.25</v>
      </c>
      <c r="E62" s="3205">
        <v>0.25</v>
      </c>
      <c r="F62" s="3205">
        <v>0.25</v>
      </c>
      <c r="G62" s="3205">
        <v>0.15</v>
      </c>
    </row>
    <row r="63" spans="1:9" s="800" customFormat="1" ht="19.5" customHeight="1" x14ac:dyDescent="0.2">
      <c r="A63" s="813" t="s">
        <v>163</v>
      </c>
      <c r="B63" s="3205">
        <v>0.6</v>
      </c>
      <c r="C63" s="3205">
        <v>0.3</v>
      </c>
      <c r="D63" s="3205">
        <v>0.25</v>
      </c>
      <c r="E63" s="3205">
        <v>0.25</v>
      </c>
      <c r="F63" s="3205">
        <v>0.25</v>
      </c>
      <c r="G63" s="3205">
        <v>0.15</v>
      </c>
    </row>
    <row r="64" spans="1:9" s="800" customFormat="1" ht="19.5" customHeight="1" x14ac:dyDescent="0.2">
      <c r="A64" s="813" t="s">
        <v>164</v>
      </c>
      <c r="B64" s="3205">
        <v>0.5</v>
      </c>
      <c r="C64" s="3205">
        <v>0.2</v>
      </c>
      <c r="D64" s="3205">
        <v>0.2</v>
      </c>
      <c r="E64" s="3205">
        <v>0.2</v>
      </c>
      <c r="F64" s="3205">
        <v>0.2</v>
      </c>
      <c r="G64" s="3205">
        <v>0.1</v>
      </c>
    </row>
    <row r="65" spans="1:7" s="800" customFormat="1" ht="19.5" customHeight="1" x14ac:dyDescent="0.2">
      <c r="A65" s="813" t="s">
        <v>165</v>
      </c>
      <c r="B65" s="3205">
        <v>0.5</v>
      </c>
      <c r="C65" s="3205">
        <v>0.2</v>
      </c>
      <c r="D65" s="3205">
        <v>0.2</v>
      </c>
      <c r="E65" s="3205">
        <v>0.2</v>
      </c>
      <c r="F65" s="3205">
        <v>0.2</v>
      </c>
      <c r="G65" s="3205">
        <v>0.1</v>
      </c>
    </row>
    <row r="66" spans="1:7" s="800" customFormat="1" ht="19.5" customHeight="1" x14ac:dyDescent="0.2">
      <c r="A66" s="813" t="s">
        <v>166</v>
      </c>
      <c r="B66" s="3205">
        <v>0.5</v>
      </c>
      <c r="C66" s="3205">
        <v>0.2</v>
      </c>
      <c r="D66" s="3205">
        <v>0.2</v>
      </c>
      <c r="E66" s="3205">
        <v>0.2</v>
      </c>
      <c r="F66" s="3205">
        <v>0.2</v>
      </c>
      <c r="G66" s="3205">
        <v>0.1</v>
      </c>
    </row>
    <row r="67" spans="1:7" s="800" customFormat="1" ht="19.5" customHeight="1" x14ac:dyDescent="0.2">
      <c r="A67" s="813" t="s">
        <v>167</v>
      </c>
      <c r="B67" s="3205">
        <v>0.5</v>
      </c>
      <c r="C67" s="3205">
        <v>0.2</v>
      </c>
      <c r="D67" s="3205">
        <v>0.2</v>
      </c>
      <c r="E67" s="3205">
        <v>0.2</v>
      </c>
      <c r="F67" s="3205">
        <v>0.2</v>
      </c>
      <c r="G67" s="3205">
        <v>0.1</v>
      </c>
    </row>
    <row r="68" spans="1:7" s="800" customFormat="1" ht="19.5" customHeight="1" x14ac:dyDescent="0.2">
      <c r="A68" s="813" t="s">
        <v>168</v>
      </c>
      <c r="B68" s="3205">
        <v>0.5</v>
      </c>
      <c r="C68" s="3205">
        <v>0.2</v>
      </c>
      <c r="D68" s="3205">
        <v>0.2</v>
      </c>
      <c r="E68" s="3205">
        <v>0.2</v>
      </c>
      <c r="F68" s="3205">
        <v>0.2</v>
      </c>
      <c r="G68" s="3205">
        <v>0.1</v>
      </c>
    </row>
    <row r="70" spans="1:7" s="800" customFormat="1" ht="19.5" customHeight="1" x14ac:dyDescent="0.2">
      <c r="A70" s="814"/>
      <c r="B70" s="798"/>
      <c r="C70" s="798"/>
      <c r="D70" s="798" t="s">
        <v>560</v>
      </c>
      <c r="E70" s="798"/>
      <c r="F70" s="798"/>
    </row>
    <row r="71" spans="1:7" s="800" customFormat="1" ht="19.5" customHeight="1" x14ac:dyDescent="0.2">
      <c r="A71" s="803" t="s">
        <v>561</v>
      </c>
      <c r="B71" s="803" t="s">
        <v>562</v>
      </c>
      <c r="C71" s="803" t="s">
        <v>563</v>
      </c>
      <c r="D71" s="803" t="s">
        <v>564</v>
      </c>
      <c r="E71" s="803" t="s">
        <v>565</v>
      </c>
      <c r="F71" s="803" t="s">
        <v>566</v>
      </c>
    </row>
    <row r="72" spans="1:7" ht="15" x14ac:dyDescent="0.2">
      <c r="A72" s="858"/>
      <c r="B72" s="858"/>
      <c r="C72" s="858" t="s">
        <v>3029</v>
      </c>
      <c r="D72" s="858"/>
      <c r="E72" s="815" t="s">
        <v>1</v>
      </c>
      <c r="F72" s="858" t="s">
        <v>1</v>
      </c>
    </row>
    <row r="73" spans="1:7" s="800" customFormat="1" ht="15" x14ac:dyDescent="0.2">
      <c r="A73" s="3225">
        <v>1</v>
      </c>
      <c r="B73" s="3758" t="s">
        <v>3030</v>
      </c>
      <c r="C73" s="3205" t="s">
        <v>3031</v>
      </c>
      <c r="D73" s="3205" t="s">
        <v>3032</v>
      </c>
      <c r="E73" s="3226">
        <v>0.2</v>
      </c>
      <c r="F73" s="3225">
        <v>25</v>
      </c>
    </row>
    <row r="74" spans="1:7" s="800" customFormat="1" ht="26" x14ac:dyDescent="0.2">
      <c r="A74" s="3225">
        <v>2</v>
      </c>
      <c r="B74" s="3760"/>
      <c r="C74" s="3205" t="s">
        <v>3033</v>
      </c>
      <c r="D74" s="3205" t="s">
        <v>3034</v>
      </c>
      <c r="E74" s="3226">
        <v>0.2</v>
      </c>
      <c r="F74" s="3225">
        <v>25</v>
      </c>
    </row>
    <row r="75" spans="1:7" s="800" customFormat="1" ht="26" x14ac:dyDescent="0.2">
      <c r="A75" s="3225">
        <v>3</v>
      </c>
      <c r="B75" s="3760"/>
      <c r="C75" s="3205" t="s">
        <v>3035</v>
      </c>
      <c r="D75" s="3205" t="s">
        <v>3036</v>
      </c>
      <c r="E75" s="3226">
        <v>0.2</v>
      </c>
      <c r="F75" s="3225">
        <v>25</v>
      </c>
    </row>
    <row r="76" spans="1:7" s="800" customFormat="1" ht="15" x14ac:dyDescent="0.2">
      <c r="A76" s="3225">
        <v>4</v>
      </c>
      <c r="B76" s="3760"/>
      <c r="C76" s="3205" t="s">
        <v>3037</v>
      </c>
      <c r="D76" s="3205" t="s">
        <v>3038</v>
      </c>
      <c r="E76" s="3226">
        <v>0.15</v>
      </c>
      <c r="F76" s="3225">
        <v>20</v>
      </c>
    </row>
    <row r="77" spans="1:7" s="800" customFormat="1" ht="26" x14ac:dyDescent="0.2">
      <c r="A77" s="3225">
        <v>5</v>
      </c>
      <c r="B77" s="3760"/>
      <c r="C77" s="3205" t="s">
        <v>3039</v>
      </c>
      <c r="D77" s="3205" t="s">
        <v>3040</v>
      </c>
      <c r="E77" s="3226">
        <v>0.15</v>
      </c>
      <c r="F77" s="3225">
        <v>20</v>
      </c>
    </row>
    <row r="78" spans="1:7" s="800" customFormat="1" ht="26" x14ac:dyDescent="0.2">
      <c r="A78" s="3225">
        <v>6</v>
      </c>
      <c r="B78" s="3760"/>
      <c r="C78" s="3205" t="s">
        <v>3041</v>
      </c>
      <c r="D78" s="3205" t="s">
        <v>3042</v>
      </c>
      <c r="E78" s="3226">
        <v>0.15</v>
      </c>
      <c r="F78" s="3225">
        <v>20</v>
      </c>
    </row>
    <row r="79" spans="1:7" s="800" customFormat="1" ht="26" x14ac:dyDescent="0.2">
      <c r="A79" s="3225">
        <v>7</v>
      </c>
      <c r="B79" s="3760"/>
      <c r="C79" s="3205" t="s">
        <v>3043</v>
      </c>
      <c r="D79" s="3205" t="s">
        <v>3044</v>
      </c>
      <c r="E79" s="3226">
        <v>0.15</v>
      </c>
      <c r="F79" s="3225">
        <v>20</v>
      </c>
    </row>
    <row r="80" spans="1:7" s="800" customFormat="1" ht="26" x14ac:dyDescent="0.2">
      <c r="A80" s="3225">
        <v>8</v>
      </c>
      <c r="B80" s="3760"/>
      <c r="C80" s="3205" t="s">
        <v>3045</v>
      </c>
      <c r="D80" s="3205" t="s">
        <v>3046</v>
      </c>
      <c r="E80" s="3226">
        <v>0.1</v>
      </c>
      <c r="F80" s="3225">
        <v>15</v>
      </c>
    </row>
    <row r="81" spans="1:6" s="800" customFormat="1" ht="26" x14ac:dyDescent="0.2">
      <c r="A81" s="3225">
        <v>9</v>
      </c>
      <c r="B81" s="3760"/>
      <c r="C81" s="3205" t="s">
        <v>3047</v>
      </c>
      <c r="D81" s="3205" t="s">
        <v>3048</v>
      </c>
      <c r="E81" s="3226">
        <v>0.1</v>
      </c>
      <c r="F81" s="3225">
        <v>15</v>
      </c>
    </row>
    <row r="82" spans="1:6" s="800" customFormat="1" ht="26" x14ac:dyDescent="0.2">
      <c r="A82" s="3225">
        <v>10</v>
      </c>
      <c r="B82" s="3760"/>
      <c r="C82" s="3205" t="s">
        <v>3049</v>
      </c>
      <c r="D82" s="3205" t="s">
        <v>3050</v>
      </c>
      <c r="E82" s="3226">
        <v>0.1</v>
      </c>
      <c r="F82" s="3225">
        <v>15</v>
      </c>
    </row>
    <row r="83" spans="1:6" s="800" customFormat="1" ht="26" x14ac:dyDescent="0.2">
      <c r="A83" s="3225">
        <v>11</v>
      </c>
      <c r="B83" s="3760"/>
      <c r="C83" s="3205" t="s">
        <v>3051</v>
      </c>
      <c r="D83" s="3205" t="s">
        <v>3052</v>
      </c>
      <c r="E83" s="3226">
        <v>0.1</v>
      </c>
      <c r="F83" s="3225">
        <v>15</v>
      </c>
    </row>
    <row r="84" spans="1:6" s="800" customFormat="1" ht="26" x14ac:dyDescent="0.2">
      <c r="A84" s="3225">
        <v>12</v>
      </c>
      <c r="B84" s="3760"/>
      <c r="C84" s="3205" t="s">
        <v>3053</v>
      </c>
      <c r="D84" s="3205" t="s">
        <v>3054</v>
      </c>
      <c r="E84" s="3226">
        <v>0.1</v>
      </c>
      <c r="F84" s="3225">
        <v>15</v>
      </c>
    </row>
    <row r="85" spans="1:6" s="800" customFormat="1" ht="15" x14ac:dyDescent="0.2">
      <c r="A85" s="3225">
        <v>13</v>
      </c>
      <c r="B85" s="3760"/>
      <c r="C85" s="3205" t="s">
        <v>3055</v>
      </c>
      <c r="D85" s="3205" t="s">
        <v>3056</v>
      </c>
      <c r="E85" s="3226">
        <v>0.1</v>
      </c>
      <c r="F85" s="3225">
        <v>15</v>
      </c>
    </row>
    <row r="86" spans="1:6" s="800" customFormat="1" ht="15" x14ac:dyDescent="0.2">
      <c r="A86" s="3225">
        <v>14</v>
      </c>
      <c r="B86" s="3760"/>
      <c r="C86" s="3205" t="s">
        <v>3057</v>
      </c>
      <c r="D86" s="3205" t="s">
        <v>3058</v>
      </c>
      <c r="E86" s="3226">
        <v>0.1</v>
      </c>
      <c r="F86" s="3225">
        <v>15</v>
      </c>
    </row>
    <row r="87" spans="1:6" s="800" customFormat="1" ht="15" x14ac:dyDescent="0.2">
      <c r="A87" s="3225">
        <v>15</v>
      </c>
      <c r="B87" s="3760"/>
      <c r="C87" s="3205" t="s">
        <v>3059</v>
      </c>
      <c r="D87" s="3205" t="s">
        <v>3060</v>
      </c>
      <c r="E87" s="3226">
        <v>0.1</v>
      </c>
      <c r="F87" s="3225">
        <v>15</v>
      </c>
    </row>
    <row r="88" spans="1:6" s="800" customFormat="1" ht="26" x14ac:dyDescent="0.2">
      <c r="A88" s="3225">
        <v>16</v>
      </c>
      <c r="B88" s="3760"/>
      <c r="C88" s="3205" t="s">
        <v>3061</v>
      </c>
      <c r="D88" s="3205" t="s">
        <v>3062</v>
      </c>
      <c r="E88" s="3226">
        <v>0.1</v>
      </c>
      <c r="F88" s="3225">
        <v>15</v>
      </c>
    </row>
    <row r="89" spans="1:6" s="800" customFormat="1" ht="26" x14ac:dyDescent="0.2">
      <c r="A89" s="3225">
        <v>17</v>
      </c>
      <c r="B89" s="3759"/>
      <c r="C89" s="3205" t="s">
        <v>3063</v>
      </c>
      <c r="D89" s="3205" t="s">
        <v>3064</v>
      </c>
      <c r="E89" s="3226">
        <v>0.1</v>
      </c>
      <c r="F89" s="3225">
        <v>15</v>
      </c>
    </row>
    <row r="90" spans="1:6" s="800" customFormat="1" ht="15" x14ac:dyDescent="0.2">
      <c r="A90" s="3225">
        <v>18</v>
      </c>
      <c r="B90" s="3758" t="s">
        <v>3065</v>
      </c>
      <c r="C90" s="3205" t="s">
        <v>3066</v>
      </c>
      <c r="D90" s="3205" t="s">
        <v>3067</v>
      </c>
      <c r="E90" s="3226">
        <v>0.2</v>
      </c>
      <c r="F90" s="3225">
        <v>25</v>
      </c>
    </row>
    <row r="91" spans="1:6" s="800" customFormat="1" ht="26" x14ac:dyDescent="0.2">
      <c r="A91" s="3225">
        <v>19</v>
      </c>
      <c r="B91" s="3760"/>
      <c r="C91" s="3205" t="s">
        <v>3068</v>
      </c>
      <c r="D91" s="3205" t="s">
        <v>3069</v>
      </c>
      <c r="E91" s="3226">
        <v>0.2</v>
      </c>
      <c r="F91" s="3225">
        <v>25</v>
      </c>
    </row>
    <row r="92" spans="1:6" s="800" customFormat="1" ht="15" x14ac:dyDescent="0.2">
      <c r="A92" s="3225">
        <v>20</v>
      </c>
      <c r="B92" s="3760"/>
      <c r="C92" s="3205" t="s">
        <v>3070</v>
      </c>
      <c r="D92" s="3205" t="s">
        <v>3071</v>
      </c>
      <c r="E92" s="3226">
        <v>0.15</v>
      </c>
      <c r="F92" s="3225">
        <v>20</v>
      </c>
    </row>
    <row r="93" spans="1:6" s="800" customFormat="1" ht="26" x14ac:dyDescent="0.2">
      <c r="A93" s="3225">
        <v>21</v>
      </c>
      <c r="B93" s="3760"/>
      <c r="C93" s="3205" t="s">
        <v>3072</v>
      </c>
      <c r="D93" s="3205" t="s">
        <v>3073</v>
      </c>
      <c r="E93" s="3226">
        <v>0.15</v>
      </c>
      <c r="F93" s="3225">
        <v>20</v>
      </c>
    </row>
    <row r="94" spans="1:6" s="800" customFormat="1" ht="26" x14ac:dyDescent="0.2">
      <c r="A94" s="3225">
        <v>22</v>
      </c>
      <c r="B94" s="3760"/>
      <c r="C94" s="3205" t="s">
        <v>3074</v>
      </c>
      <c r="D94" s="3205" t="s">
        <v>3075</v>
      </c>
      <c r="E94" s="3226">
        <v>0.15</v>
      </c>
      <c r="F94" s="3225">
        <v>20</v>
      </c>
    </row>
    <row r="95" spans="1:6" s="800" customFormat="1" ht="39" x14ac:dyDescent="0.2">
      <c r="A95" s="3225">
        <v>23</v>
      </c>
      <c r="B95" s="3760"/>
      <c r="C95" s="3205" t="s">
        <v>3076</v>
      </c>
      <c r="D95" s="3205" t="s">
        <v>3077</v>
      </c>
      <c r="E95" s="3226">
        <v>0.15</v>
      </c>
      <c r="F95" s="3225">
        <v>20</v>
      </c>
    </row>
    <row r="96" spans="1:6" s="800" customFormat="1" ht="15" x14ac:dyDescent="0.2">
      <c r="A96" s="3225">
        <v>24</v>
      </c>
      <c r="B96" s="3760"/>
      <c r="C96" s="3205" t="s">
        <v>3078</v>
      </c>
      <c r="D96" s="3205" t="s">
        <v>3079</v>
      </c>
      <c r="E96" s="3226">
        <v>0.1</v>
      </c>
      <c r="F96" s="3225">
        <v>15</v>
      </c>
    </row>
    <row r="97" spans="1:6" s="800" customFormat="1" ht="26" x14ac:dyDescent="0.2">
      <c r="A97" s="3225">
        <v>25</v>
      </c>
      <c r="B97" s="3760"/>
      <c r="C97" s="3205" t="s">
        <v>3080</v>
      </c>
      <c r="D97" s="3205" t="s">
        <v>3081</v>
      </c>
      <c r="E97" s="3226">
        <v>0.1</v>
      </c>
      <c r="F97" s="3225">
        <v>15</v>
      </c>
    </row>
    <row r="98" spans="1:6" s="800" customFormat="1" ht="26" x14ac:dyDescent="0.2">
      <c r="A98" s="3225">
        <v>26</v>
      </c>
      <c r="B98" s="3760"/>
      <c r="C98" s="3205" t="s">
        <v>3082</v>
      </c>
      <c r="D98" s="3205" t="s">
        <v>3083</v>
      </c>
      <c r="E98" s="3226">
        <v>0.1</v>
      </c>
      <c r="F98" s="3225">
        <v>15</v>
      </c>
    </row>
    <row r="99" spans="1:6" s="800" customFormat="1" ht="26" x14ac:dyDescent="0.2">
      <c r="A99" s="3225">
        <v>27</v>
      </c>
      <c r="B99" s="3760"/>
      <c r="C99" s="3205" t="s">
        <v>3084</v>
      </c>
      <c r="D99" s="3205" t="s">
        <v>3085</v>
      </c>
      <c r="E99" s="3226">
        <v>0.1</v>
      </c>
      <c r="F99" s="3225">
        <v>15</v>
      </c>
    </row>
    <row r="100" spans="1:6" s="800" customFormat="1" ht="26" x14ac:dyDescent="0.2">
      <c r="A100" s="3225">
        <v>28</v>
      </c>
      <c r="B100" s="3760"/>
      <c r="C100" s="3205" t="s">
        <v>3086</v>
      </c>
      <c r="D100" s="3205" t="s">
        <v>3087</v>
      </c>
      <c r="E100" s="3226">
        <v>0.1</v>
      </c>
      <c r="F100" s="3225">
        <v>15</v>
      </c>
    </row>
    <row r="101" spans="1:6" s="800" customFormat="1" ht="26" x14ac:dyDescent="0.2">
      <c r="A101" s="3225">
        <v>29</v>
      </c>
      <c r="B101" s="3760"/>
      <c r="C101" s="3205" t="s">
        <v>3088</v>
      </c>
      <c r="D101" s="3205" t="s">
        <v>3089</v>
      </c>
      <c r="E101" s="3226">
        <v>0.1</v>
      </c>
      <c r="F101" s="3225">
        <v>15</v>
      </c>
    </row>
    <row r="102" spans="1:6" s="800" customFormat="1" ht="26" x14ac:dyDescent="0.2">
      <c r="A102" s="3225">
        <v>30</v>
      </c>
      <c r="B102" s="3760"/>
      <c r="C102" s="3205" t="s">
        <v>3090</v>
      </c>
      <c r="D102" s="3205" t="s">
        <v>3091</v>
      </c>
      <c r="E102" s="3226">
        <v>0.1</v>
      </c>
      <c r="F102" s="3225">
        <v>15</v>
      </c>
    </row>
    <row r="103" spans="1:6" s="800" customFormat="1" ht="26" x14ac:dyDescent="0.2">
      <c r="A103" s="3225">
        <v>31</v>
      </c>
      <c r="B103" s="3760"/>
      <c r="C103" s="3205" t="s">
        <v>3092</v>
      </c>
      <c r="D103" s="3205" t="s">
        <v>3093</v>
      </c>
      <c r="E103" s="3226">
        <v>0.1</v>
      </c>
      <c r="F103" s="3225">
        <v>15</v>
      </c>
    </row>
    <row r="104" spans="1:6" s="800" customFormat="1" ht="26" x14ac:dyDescent="0.2">
      <c r="A104" s="3225">
        <v>32</v>
      </c>
      <c r="B104" s="3760"/>
      <c r="C104" s="3205" t="s">
        <v>3094</v>
      </c>
      <c r="D104" s="3205" t="s">
        <v>3095</v>
      </c>
      <c r="E104" s="3226">
        <v>0.1</v>
      </c>
      <c r="F104" s="3225">
        <v>15</v>
      </c>
    </row>
    <row r="105" spans="1:6" s="800" customFormat="1" ht="26" x14ac:dyDescent="0.2">
      <c r="A105" s="3225">
        <v>33</v>
      </c>
      <c r="B105" s="3760"/>
      <c r="C105" s="3205" t="s">
        <v>3096</v>
      </c>
      <c r="D105" s="3205" t="s">
        <v>3097</v>
      </c>
      <c r="E105" s="3226">
        <v>0.1</v>
      </c>
      <c r="F105" s="3225">
        <v>15</v>
      </c>
    </row>
    <row r="106" spans="1:6" s="800" customFormat="1" ht="26" x14ac:dyDescent="0.2">
      <c r="A106" s="3225">
        <v>34</v>
      </c>
      <c r="B106" s="3759"/>
      <c r="C106" s="3205" t="s">
        <v>3098</v>
      </c>
      <c r="D106" s="3205" t="s">
        <v>3099</v>
      </c>
      <c r="E106" s="3226">
        <v>0.1</v>
      </c>
      <c r="F106" s="3225">
        <v>15</v>
      </c>
    </row>
    <row r="107" spans="1:6" s="800" customFormat="1" ht="26" x14ac:dyDescent="0.2">
      <c r="A107" s="3225">
        <v>35</v>
      </c>
      <c r="B107" s="3758" t="s">
        <v>3100</v>
      </c>
      <c r="C107" s="3225" t="s">
        <v>3101</v>
      </c>
      <c r="D107" s="3205" t="s">
        <v>3102</v>
      </c>
      <c r="E107" s="3226">
        <v>0.15</v>
      </c>
      <c r="F107" s="3225">
        <v>20</v>
      </c>
    </row>
    <row r="108" spans="1:6" s="800" customFormat="1" ht="26" x14ac:dyDescent="0.2">
      <c r="A108" s="3225">
        <v>36</v>
      </c>
      <c r="B108" s="3760"/>
      <c r="C108" s="3225" t="s">
        <v>3103</v>
      </c>
      <c r="D108" s="3205" t="s">
        <v>3104</v>
      </c>
      <c r="E108" s="3226">
        <v>0.15</v>
      </c>
      <c r="F108" s="3225">
        <v>20</v>
      </c>
    </row>
    <row r="109" spans="1:6" s="800" customFormat="1" ht="26" x14ac:dyDescent="0.2">
      <c r="A109" s="3225">
        <v>37</v>
      </c>
      <c r="B109" s="3760"/>
      <c r="C109" s="3225" t="s">
        <v>3105</v>
      </c>
      <c r="D109" s="3205" t="s">
        <v>3106</v>
      </c>
      <c r="E109" s="3226">
        <v>0.15</v>
      </c>
      <c r="F109" s="3225">
        <v>20</v>
      </c>
    </row>
    <row r="110" spans="1:6" s="800" customFormat="1" ht="15" x14ac:dyDescent="0.2">
      <c r="A110" s="3225">
        <v>38</v>
      </c>
      <c r="B110" s="3760"/>
      <c r="C110" s="3225" t="s">
        <v>3107</v>
      </c>
      <c r="D110" s="3205" t="s">
        <v>3108</v>
      </c>
      <c r="E110" s="3226">
        <v>0.1</v>
      </c>
      <c r="F110" s="3225">
        <v>15</v>
      </c>
    </row>
    <row r="111" spans="1:6" s="800" customFormat="1" ht="26" x14ac:dyDescent="0.2">
      <c r="A111" s="3225">
        <v>39</v>
      </c>
      <c r="B111" s="3760"/>
      <c r="C111" s="3225" t="s">
        <v>3109</v>
      </c>
      <c r="D111" s="3205" t="s">
        <v>3110</v>
      </c>
      <c r="E111" s="3226">
        <v>0.1</v>
      </c>
      <c r="F111" s="3225">
        <v>15</v>
      </c>
    </row>
    <row r="112" spans="1:6" s="800" customFormat="1" ht="26" x14ac:dyDescent="0.2">
      <c r="A112" s="3225">
        <v>40</v>
      </c>
      <c r="B112" s="3759"/>
      <c r="C112" s="3225" t="s">
        <v>3111</v>
      </c>
      <c r="D112" s="3205" t="s">
        <v>3112</v>
      </c>
      <c r="E112" s="3226">
        <v>0.1</v>
      </c>
      <c r="F112" s="3225">
        <v>15</v>
      </c>
    </row>
    <row r="113" spans="1:6" s="800" customFormat="1" ht="26" x14ac:dyDescent="0.2">
      <c r="A113" s="3225">
        <v>41</v>
      </c>
      <c r="B113" s="3757" t="s">
        <v>3113</v>
      </c>
      <c r="C113" s="3225" t="s">
        <v>3114</v>
      </c>
      <c r="D113" s="3205" t="s">
        <v>3115</v>
      </c>
      <c r="E113" s="3226">
        <v>0.1</v>
      </c>
      <c r="F113" s="3225">
        <v>15</v>
      </c>
    </row>
    <row r="114" spans="1:6" s="800" customFormat="1" ht="15" x14ac:dyDescent="0.2">
      <c r="A114" s="3225">
        <v>42</v>
      </c>
      <c r="B114" s="3757"/>
      <c r="C114" s="3225" t="s">
        <v>3116</v>
      </c>
      <c r="D114" s="3205" t="s">
        <v>3117</v>
      </c>
      <c r="E114" s="3226">
        <v>0.1</v>
      </c>
      <c r="F114" s="3225">
        <v>15</v>
      </c>
    </row>
    <row r="115" spans="1:6" s="800" customFormat="1" ht="26" x14ac:dyDescent="0.2">
      <c r="A115" s="3225">
        <v>43</v>
      </c>
      <c r="B115" s="3757"/>
      <c r="C115" s="3225" t="s">
        <v>3118</v>
      </c>
      <c r="D115" s="3205" t="s">
        <v>3119</v>
      </c>
      <c r="E115" s="3226">
        <v>0.1</v>
      </c>
      <c r="F115" s="3225">
        <v>15</v>
      </c>
    </row>
    <row r="116" spans="1:6" s="800" customFormat="1" ht="26" x14ac:dyDescent="0.2">
      <c r="A116" s="3225">
        <v>44</v>
      </c>
      <c r="B116" s="3758" t="s">
        <v>3120</v>
      </c>
      <c r="C116" s="3225" t="s">
        <v>3121</v>
      </c>
      <c r="D116" s="3205" t="s">
        <v>3122</v>
      </c>
      <c r="E116" s="3226">
        <v>0.1</v>
      </c>
      <c r="F116" s="3225">
        <v>15</v>
      </c>
    </row>
    <row r="117" spans="1:6" s="800" customFormat="1" ht="26" x14ac:dyDescent="0.2">
      <c r="A117" s="3225">
        <v>45</v>
      </c>
      <c r="B117" s="3759"/>
      <c r="C117" s="3205" t="s">
        <v>3123</v>
      </c>
      <c r="D117" s="3205" t="s">
        <v>3124</v>
      </c>
      <c r="E117" s="3226">
        <v>0.1</v>
      </c>
      <c r="F117" s="3225">
        <v>15</v>
      </c>
    </row>
    <row r="118" spans="1:6" s="800" customFormat="1" ht="26" x14ac:dyDescent="0.2">
      <c r="A118" s="3225">
        <v>46</v>
      </c>
      <c r="B118" s="3758" t="s">
        <v>3125</v>
      </c>
      <c r="C118" s="3225" t="s">
        <v>3126</v>
      </c>
      <c r="D118" s="3205" t="s">
        <v>3127</v>
      </c>
      <c r="E118" s="3226">
        <v>0.1</v>
      </c>
      <c r="F118" s="3225">
        <v>15</v>
      </c>
    </row>
    <row r="119" spans="1:6" s="800" customFormat="1" ht="26" x14ac:dyDescent="0.2">
      <c r="A119" s="3225">
        <v>47</v>
      </c>
      <c r="B119" s="3759"/>
      <c r="C119" s="3225" t="s">
        <v>3128</v>
      </c>
      <c r="D119" s="3205" t="s">
        <v>3129</v>
      </c>
      <c r="E119" s="3226">
        <v>0.1</v>
      </c>
      <c r="F119" s="3225">
        <v>15</v>
      </c>
    </row>
    <row r="120" spans="1:6" s="800" customFormat="1" ht="26" x14ac:dyDescent="0.2">
      <c r="A120" s="3225">
        <v>48</v>
      </c>
      <c r="B120" s="3758" t="s">
        <v>3130</v>
      </c>
      <c r="C120" s="3225" t="s">
        <v>3131</v>
      </c>
      <c r="D120" s="3205" t="s">
        <v>3132</v>
      </c>
      <c r="E120" s="3226">
        <v>0.1</v>
      </c>
      <c r="F120" s="3225">
        <v>15</v>
      </c>
    </row>
    <row r="121" spans="1:6" s="800" customFormat="1" ht="15" x14ac:dyDescent="0.2">
      <c r="A121" s="3225">
        <v>49</v>
      </c>
      <c r="B121" s="3759"/>
      <c r="C121" s="3225" t="s">
        <v>3133</v>
      </c>
      <c r="D121" s="3205" t="s">
        <v>3134</v>
      </c>
      <c r="E121" s="3226">
        <v>0.1</v>
      </c>
      <c r="F121" s="3225">
        <v>15</v>
      </c>
    </row>
    <row r="122" spans="1:6" s="800" customFormat="1" ht="26" x14ac:dyDescent="0.2">
      <c r="A122" s="3225">
        <v>50</v>
      </c>
      <c r="B122" s="3757" t="s">
        <v>3135</v>
      </c>
      <c r="C122" s="3225" t="s">
        <v>3136</v>
      </c>
      <c r="D122" s="3205" t="s">
        <v>3137</v>
      </c>
      <c r="E122" s="3226">
        <v>0.1</v>
      </c>
      <c r="F122" s="3225">
        <v>15</v>
      </c>
    </row>
    <row r="123" spans="1:6" s="800" customFormat="1" ht="26" x14ac:dyDescent="0.2">
      <c r="A123" s="3225">
        <v>51</v>
      </c>
      <c r="B123" s="3757"/>
      <c r="C123" s="3225" t="s">
        <v>3138</v>
      </c>
      <c r="D123" s="3205" t="s">
        <v>3139</v>
      </c>
      <c r="E123" s="3226">
        <v>0.1</v>
      </c>
      <c r="F123" s="3225">
        <v>15</v>
      </c>
    </row>
    <row r="124" spans="1:6" s="800" customFormat="1" ht="26" x14ac:dyDescent="0.2">
      <c r="A124" s="3225">
        <v>52</v>
      </c>
      <c r="B124" s="3757" t="s">
        <v>3140</v>
      </c>
      <c r="C124" s="3225" t="s">
        <v>3141</v>
      </c>
      <c r="D124" s="3205" t="s">
        <v>3142</v>
      </c>
      <c r="E124" s="3226">
        <v>0.1</v>
      </c>
      <c r="F124" s="3225">
        <v>15</v>
      </c>
    </row>
    <row r="125" spans="1:6" s="800" customFormat="1" ht="26" x14ac:dyDescent="0.2">
      <c r="A125" s="3225">
        <v>53</v>
      </c>
      <c r="B125" s="3757"/>
      <c r="C125" s="3225" t="s">
        <v>3143</v>
      </c>
      <c r="D125" s="3205" t="s">
        <v>3144</v>
      </c>
      <c r="E125" s="3226">
        <v>0.1</v>
      </c>
      <c r="F125" s="3225">
        <v>15</v>
      </c>
    </row>
    <row r="126" spans="1:6" ht="26" x14ac:dyDescent="0.2">
      <c r="A126" s="3225">
        <v>54</v>
      </c>
      <c r="B126" s="3225" t="s">
        <v>3145</v>
      </c>
      <c r="C126" s="3225" t="s">
        <v>3146</v>
      </c>
      <c r="D126" s="3205" t="s">
        <v>3147</v>
      </c>
      <c r="E126" s="3226">
        <v>0.1</v>
      </c>
      <c r="F126" s="3225">
        <v>15</v>
      </c>
    </row>
    <row r="127" spans="1:6" ht="15" x14ac:dyDescent="0.2">
      <c r="A127" s="3225">
        <v>55</v>
      </c>
      <c r="B127" s="3757" t="s">
        <v>3148</v>
      </c>
      <c r="C127" s="3225" t="s">
        <v>3149</v>
      </c>
      <c r="D127" s="3205" t="s">
        <v>3150</v>
      </c>
      <c r="E127" s="3226">
        <v>0.1</v>
      </c>
      <c r="F127" s="3225">
        <v>15</v>
      </c>
    </row>
    <row r="128" spans="1:6" ht="15" x14ac:dyDescent="0.2">
      <c r="A128" s="3225">
        <v>56</v>
      </c>
      <c r="B128" s="3757"/>
      <c r="C128" s="3225" t="s">
        <v>3151</v>
      </c>
      <c r="D128" s="3205" t="s">
        <v>3152</v>
      </c>
      <c r="E128" s="3226">
        <v>0.1</v>
      </c>
      <c r="F128" s="3225">
        <v>15</v>
      </c>
    </row>
    <row r="129" spans="1:6" ht="26" x14ac:dyDescent="0.2">
      <c r="A129" s="3225">
        <v>57</v>
      </c>
      <c r="B129" s="3757"/>
      <c r="C129" s="3225" t="s">
        <v>3153</v>
      </c>
      <c r="D129" s="3205" t="s">
        <v>3154</v>
      </c>
      <c r="E129" s="3226">
        <v>0.1</v>
      </c>
      <c r="F129" s="3225">
        <v>15</v>
      </c>
    </row>
    <row r="130" spans="1:6" ht="26" x14ac:dyDescent="0.2">
      <c r="A130" s="3225">
        <v>58</v>
      </c>
      <c r="B130" s="3757" t="s">
        <v>3155</v>
      </c>
      <c r="C130" s="3225" t="s">
        <v>3156</v>
      </c>
      <c r="D130" s="3205" t="s">
        <v>3157</v>
      </c>
      <c r="E130" s="3226">
        <v>0.1</v>
      </c>
      <c r="F130" s="3225">
        <v>15</v>
      </c>
    </row>
    <row r="131" spans="1:6" ht="26" x14ac:dyDescent="0.2">
      <c r="A131" s="3225">
        <v>59</v>
      </c>
      <c r="B131" s="3757"/>
      <c r="C131" s="3225" t="s">
        <v>3158</v>
      </c>
      <c r="D131" s="3205" t="s">
        <v>3159</v>
      </c>
      <c r="E131" s="3226">
        <v>0.1</v>
      </c>
      <c r="F131" s="3225">
        <v>15</v>
      </c>
    </row>
    <row r="132" spans="1:6" ht="26" x14ac:dyDescent="0.2">
      <c r="A132" s="3225">
        <v>60</v>
      </c>
      <c r="B132" s="3758" t="s">
        <v>3160</v>
      </c>
      <c r="C132" s="3225" t="s">
        <v>3161</v>
      </c>
      <c r="D132" s="3205" t="s">
        <v>3162</v>
      </c>
      <c r="E132" s="3226">
        <v>0.1</v>
      </c>
      <c r="F132" s="3225">
        <v>15</v>
      </c>
    </row>
    <row r="133" spans="1:6" ht="26" x14ac:dyDescent="0.2">
      <c r="A133" s="3225">
        <v>61</v>
      </c>
      <c r="B133" s="3759"/>
      <c r="C133" s="3225" t="s">
        <v>3163</v>
      </c>
      <c r="D133" s="3205" t="s">
        <v>3164</v>
      </c>
      <c r="E133" s="3226">
        <v>0.1</v>
      </c>
      <c r="F133" s="3225">
        <v>15</v>
      </c>
    </row>
    <row r="134" spans="1:6" ht="26" x14ac:dyDescent="0.2">
      <c r="A134" s="3225">
        <v>62</v>
      </c>
      <c r="B134" s="3225" t="s">
        <v>3165</v>
      </c>
      <c r="C134" s="3225" t="s">
        <v>3166</v>
      </c>
      <c r="D134" s="3205" t="s">
        <v>3167</v>
      </c>
      <c r="E134" s="3226">
        <v>0.1</v>
      </c>
      <c r="F134" s="3225">
        <v>15</v>
      </c>
    </row>
    <row r="135" spans="1:6" ht="26" x14ac:dyDescent="0.2">
      <c r="A135" s="3225">
        <v>63</v>
      </c>
      <c r="B135" s="3757" t="s">
        <v>3168</v>
      </c>
      <c r="C135" s="3225" t="s">
        <v>3169</v>
      </c>
      <c r="D135" s="3205" t="s">
        <v>3170</v>
      </c>
      <c r="E135" s="3226">
        <v>0.1</v>
      </c>
      <c r="F135" s="3225">
        <v>15</v>
      </c>
    </row>
    <row r="136" spans="1:6" ht="15" x14ac:dyDescent="0.2">
      <c r="A136" s="3225">
        <v>64</v>
      </c>
      <c r="B136" s="3757"/>
      <c r="C136" s="3225" t="s">
        <v>3171</v>
      </c>
      <c r="D136" s="3205" t="s">
        <v>3172</v>
      </c>
      <c r="E136" s="3226">
        <v>0.1</v>
      </c>
      <c r="F136" s="3225">
        <v>15</v>
      </c>
    </row>
    <row r="137" spans="1:6" ht="26" x14ac:dyDescent="0.2">
      <c r="A137" s="3225">
        <v>65</v>
      </c>
      <c r="B137" s="3225" t="s">
        <v>3173</v>
      </c>
      <c r="C137" s="3225" t="s">
        <v>3174</v>
      </c>
      <c r="D137" s="3205" t="s">
        <v>3175</v>
      </c>
      <c r="E137" s="3226">
        <v>0.1</v>
      </c>
      <c r="F137" s="3225">
        <v>15</v>
      </c>
    </row>
    <row r="138" spans="1:6" ht="15" x14ac:dyDescent="0.2">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baseColWidth="10" defaultColWidth="9" defaultRowHeight="15" x14ac:dyDescent="0.2"/>
  <cols>
    <col min="1" max="1" width="9" style="835"/>
    <col min="2" max="16384" width="9" style="818"/>
  </cols>
  <sheetData>
    <row r="1" spans="1:14" x14ac:dyDescent="0.2">
      <c r="A1" s="816" t="s">
        <v>568</v>
      </c>
      <c r="B1" s="817"/>
      <c r="C1" s="817"/>
      <c r="D1" s="817"/>
      <c r="E1" s="817"/>
      <c r="F1" s="817"/>
      <c r="G1" s="817"/>
      <c r="H1" s="817"/>
      <c r="I1" s="817"/>
      <c r="J1" s="817"/>
      <c r="K1" s="817"/>
      <c r="L1" s="817"/>
      <c r="M1" s="817"/>
      <c r="N1" s="817"/>
    </row>
    <row r="2" spans="1:14" x14ac:dyDescent="0.2">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x14ac:dyDescent="0.2">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x14ac:dyDescent="0.2">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x14ac:dyDescent="0.2">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x14ac:dyDescent="0.2">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x14ac:dyDescent="0.2">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x14ac:dyDescent="0.2">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x14ac:dyDescent="0.2">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x14ac:dyDescent="0.2">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x14ac:dyDescent="0.2">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x14ac:dyDescent="0.2">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x14ac:dyDescent="0.2">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x14ac:dyDescent="0.2">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x14ac:dyDescent="0.2">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x14ac:dyDescent="0.2">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x14ac:dyDescent="0.2">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x14ac:dyDescent="0.2">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x14ac:dyDescent="0.2">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x14ac:dyDescent="0.2">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x14ac:dyDescent="0.2">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x14ac:dyDescent="0.2">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x14ac:dyDescent="0.2">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x14ac:dyDescent="0.2">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x14ac:dyDescent="0.2">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x14ac:dyDescent="0.2">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x14ac:dyDescent="0.2">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x14ac:dyDescent="0.2">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x14ac:dyDescent="0.2">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x14ac:dyDescent="0.2">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x14ac:dyDescent="0.2">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x14ac:dyDescent="0.2">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x14ac:dyDescent="0.2">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x14ac:dyDescent="0.2">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x14ac:dyDescent="0.2">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x14ac:dyDescent="0.2">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x14ac:dyDescent="0.2">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x14ac:dyDescent="0.2">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x14ac:dyDescent="0.2">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x14ac:dyDescent="0.2">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x14ac:dyDescent="0.2">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x14ac:dyDescent="0.2">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x14ac:dyDescent="0.2">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x14ac:dyDescent="0.2">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x14ac:dyDescent="0.2">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x14ac:dyDescent="0.2">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x14ac:dyDescent="0.2">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x14ac:dyDescent="0.2">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x14ac:dyDescent="0.2">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x14ac:dyDescent="0.2">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x14ac:dyDescent="0.2">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x14ac:dyDescent="0.2">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x14ac:dyDescent="0.2">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x14ac:dyDescent="0.2">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x14ac:dyDescent="0.2">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x14ac:dyDescent="0.2">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x14ac:dyDescent="0.2">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x14ac:dyDescent="0.2">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x14ac:dyDescent="0.2">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x14ac:dyDescent="0.2">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x14ac:dyDescent="0.2">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x14ac:dyDescent="0.2">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x14ac:dyDescent="0.2">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x14ac:dyDescent="0.2">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x14ac:dyDescent="0.2">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x14ac:dyDescent="0.2">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x14ac:dyDescent="0.2">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x14ac:dyDescent="0.2">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x14ac:dyDescent="0.2">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x14ac:dyDescent="0.2">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x14ac:dyDescent="0.2">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x14ac:dyDescent="0.2">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x14ac:dyDescent="0.2">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x14ac:dyDescent="0.2">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x14ac:dyDescent="0.2">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x14ac:dyDescent="0.2">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x14ac:dyDescent="0.2">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x14ac:dyDescent="0.2">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x14ac:dyDescent="0.2">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x14ac:dyDescent="0.2">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x14ac:dyDescent="0.2">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x14ac:dyDescent="0.2">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x14ac:dyDescent="0.2">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x14ac:dyDescent="0.2">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x14ac:dyDescent="0.2">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x14ac:dyDescent="0.2">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x14ac:dyDescent="0.2">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x14ac:dyDescent="0.2">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x14ac:dyDescent="0.2">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x14ac:dyDescent="0.2">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x14ac:dyDescent="0.2">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x14ac:dyDescent="0.2">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x14ac:dyDescent="0.2">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x14ac:dyDescent="0.2">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x14ac:dyDescent="0.2">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x14ac:dyDescent="0.2">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x14ac:dyDescent="0.2">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x14ac:dyDescent="0.2">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x14ac:dyDescent="0.2">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x14ac:dyDescent="0.2">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x14ac:dyDescent="0.2">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x14ac:dyDescent="0.2">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x14ac:dyDescent="0.2">
      <c r="A103" s="816" t="s">
        <v>569</v>
      </c>
      <c r="B103" s="817"/>
      <c r="C103" s="817"/>
      <c r="D103" s="817"/>
      <c r="E103" s="817"/>
      <c r="F103" s="817"/>
      <c r="G103" s="817"/>
      <c r="H103" s="817"/>
      <c r="I103" s="817"/>
      <c r="J103" s="817"/>
      <c r="K103" s="817"/>
      <c r="L103" s="817"/>
      <c r="M103" s="817"/>
      <c r="N103" s="817"/>
    </row>
    <row r="104" spans="1:14" x14ac:dyDescent="0.2">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t="e">
        <f>SUMPRODUCT((A105:A204=ROUNDDOWN(基准地价修正!G3,1))*(B104:M104=基准地价修正!G2)*(B105:M204))</f>
        <v>#DIV/0!</v>
      </c>
    </row>
    <row r="105" spans="1:14" x14ac:dyDescent="0.2">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x14ac:dyDescent="0.2">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x14ac:dyDescent="0.2">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x14ac:dyDescent="0.2">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x14ac:dyDescent="0.2">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x14ac:dyDescent="0.2">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x14ac:dyDescent="0.2">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x14ac:dyDescent="0.2">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x14ac:dyDescent="0.2">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x14ac:dyDescent="0.2">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x14ac:dyDescent="0.2">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x14ac:dyDescent="0.2">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x14ac:dyDescent="0.2">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x14ac:dyDescent="0.2">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x14ac:dyDescent="0.2">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x14ac:dyDescent="0.2">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x14ac:dyDescent="0.2">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x14ac:dyDescent="0.2">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x14ac:dyDescent="0.2">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x14ac:dyDescent="0.2">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x14ac:dyDescent="0.2">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x14ac:dyDescent="0.2">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x14ac:dyDescent="0.2">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x14ac:dyDescent="0.2">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x14ac:dyDescent="0.2">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x14ac:dyDescent="0.2">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x14ac:dyDescent="0.2">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x14ac:dyDescent="0.2">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x14ac:dyDescent="0.2">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x14ac:dyDescent="0.2">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x14ac:dyDescent="0.2">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x14ac:dyDescent="0.2">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x14ac:dyDescent="0.2">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x14ac:dyDescent="0.2">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x14ac:dyDescent="0.2">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x14ac:dyDescent="0.2">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x14ac:dyDescent="0.2">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x14ac:dyDescent="0.2">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x14ac:dyDescent="0.2">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x14ac:dyDescent="0.2">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x14ac:dyDescent="0.2">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x14ac:dyDescent="0.2">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x14ac:dyDescent="0.2">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x14ac:dyDescent="0.2">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x14ac:dyDescent="0.2">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x14ac:dyDescent="0.2">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x14ac:dyDescent="0.2">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x14ac:dyDescent="0.2">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x14ac:dyDescent="0.2">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x14ac:dyDescent="0.2">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x14ac:dyDescent="0.2">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x14ac:dyDescent="0.2">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x14ac:dyDescent="0.2">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x14ac:dyDescent="0.2">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x14ac:dyDescent="0.2">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x14ac:dyDescent="0.2">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x14ac:dyDescent="0.2">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x14ac:dyDescent="0.2">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x14ac:dyDescent="0.2">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x14ac:dyDescent="0.2">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x14ac:dyDescent="0.2">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x14ac:dyDescent="0.2">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x14ac:dyDescent="0.2">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x14ac:dyDescent="0.2">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x14ac:dyDescent="0.2">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x14ac:dyDescent="0.2">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x14ac:dyDescent="0.2">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x14ac:dyDescent="0.2">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x14ac:dyDescent="0.2">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x14ac:dyDescent="0.2">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x14ac:dyDescent="0.2">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x14ac:dyDescent="0.2">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x14ac:dyDescent="0.2">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x14ac:dyDescent="0.2">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x14ac:dyDescent="0.2">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x14ac:dyDescent="0.2">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x14ac:dyDescent="0.2">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x14ac:dyDescent="0.2">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x14ac:dyDescent="0.2">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x14ac:dyDescent="0.2">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x14ac:dyDescent="0.2">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x14ac:dyDescent="0.2">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x14ac:dyDescent="0.2">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x14ac:dyDescent="0.2">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x14ac:dyDescent="0.2">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x14ac:dyDescent="0.2">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x14ac:dyDescent="0.2">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x14ac:dyDescent="0.2">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x14ac:dyDescent="0.2">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x14ac:dyDescent="0.2">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x14ac:dyDescent="0.2">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x14ac:dyDescent="0.2">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x14ac:dyDescent="0.2">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x14ac:dyDescent="0.2">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x14ac:dyDescent="0.2">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x14ac:dyDescent="0.2">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x14ac:dyDescent="0.2">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x14ac:dyDescent="0.2">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x14ac:dyDescent="0.2">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x14ac:dyDescent="0.2">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x14ac:dyDescent="0.2">
      <c r="A205" s="816" t="s">
        <v>570</v>
      </c>
      <c r="B205" s="817"/>
      <c r="C205" s="817"/>
      <c r="D205" s="817"/>
      <c r="E205" s="817"/>
      <c r="F205" s="817"/>
      <c r="G205" s="817"/>
      <c r="H205" s="817"/>
      <c r="I205" s="817"/>
      <c r="J205" s="817"/>
      <c r="K205" s="817"/>
      <c r="L205" s="817"/>
      <c r="M205" s="817"/>
    </row>
    <row r="206" spans="1:13" x14ac:dyDescent="0.2">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x14ac:dyDescent="0.2">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x14ac:dyDescent="0.2">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x14ac:dyDescent="0.2">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x14ac:dyDescent="0.2">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x14ac:dyDescent="0.2">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x14ac:dyDescent="0.2">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x14ac:dyDescent="0.2">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x14ac:dyDescent="0.2">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x14ac:dyDescent="0.2">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x14ac:dyDescent="0.2">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x14ac:dyDescent="0.2">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x14ac:dyDescent="0.2">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x14ac:dyDescent="0.2">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x14ac:dyDescent="0.2">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x14ac:dyDescent="0.2">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x14ac:dyDescent="0.2">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x14ac:dyDescent="0.2">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x14ac:dyDescent="0.2">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x14ac:dyDescent="0.2">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x14ac:dyDescent="0.2">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x14ac:dyDescent="0.2">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x14ac:dyDescent="0.2">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x14ac:dyDescent="0.2">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x14ac:dyDescent="0.2">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x14ac:dyDescent="0.2">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x14ac:dyDescent="0.2">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x14ac:dyDescent="0.2">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x14ac:dyDescent="0.2">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x14ac:dyDescent="0.2">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x14ac:dyDescent="0.2">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x14ac:dyDescent="0.2">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x14ac:dyDescent="0.2">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x14ac:dyDescent="0.2">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x14ac:dyDescent="0.2">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x14ac:dyDescent="0.2">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x14ac:dyDescent="0.2">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x14ac:dyDescent="0.2">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x14ac:dyDescent="0.2">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x14ac:dyDescent="0.2">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x14ac:dyDescent="0.2">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x14ac:dyDescent="0.2">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x14ac:dyDescent="0.2">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x14ac:dyDescent="0.2">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x14ac:dyDescent="0.2">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x14ac:dyDescent="0.2">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x14ac:dyDescent="0.2">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x14ac:dyDescent="0.2">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x14ac:dyDescent="0.2">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x14ac:dyDescent="0.2">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x14ac:dyDescent="0.2">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x14ac:dyDescent="0.2">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x14ac:dyDescent="0.2">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x14ac:dyDescent="0.2">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x14ac:dyDescent="0.2">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x14ac:dyDescent="0.2">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x14ac:dyDescent="0.2">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x14ac:dyDescent="0.2">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x14ac:dyDescent="0.2">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x14ac:dyDescent="0.2">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x14ac:dyDescent="0.2">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x14ac:dyDescent="0.2">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x14ac:dyDescent="0.2">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x14ac:dyDescent="0.2">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x14ac:dyDescent="0.2">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x14ac:dyDescent="0.2">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x14ac:dyDescent="0.2">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x14ac:dyDescent="0.2">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x14ac:dyDescent="0.2">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x14ac:dyDescent="0.2">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x14ac:dyDescent="0.2">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x14ac:dyDescent="0.2">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x14ac:dyDescent="0.2">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x14ac:dyDescent="0.2">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x14ac:dyDescent="0.2">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x14ac:dyDescent="0.2">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x14ac:dyDescent="0.2">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x14ac:dyDescent="0.2">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x14ac:dyDescent="0.2">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x14ac:dyDescent="0.2">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x14ac:dyDescent="0.2">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x14ac:dyDescent="0.2">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x14ac:dyDescent="0.2">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x14ac:dyDescent="0.2">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x14ac:dyDescent="0.2">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x14ac:dyDescent="0.2">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x14ac:dyDescent="0.2">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x14ac:dyDescent="0.2">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x14ac:dyDescent="0.2">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x14ac:dyDescent="0.2">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x14ac:dyDescent="0.2">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x14ac:dyDescent="0.2">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x14ac:dyDescent="0.2">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x14ac:dyDescent="0.2">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x14ac:dyDescent="0.2">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x14ac:dyDescent="0.2">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x14ac:dyDescent="0.2">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x14ac:dyDescent="0.2">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x14ac:dyDescent="0.2">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x14ac:dyDescent="0.2">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x14ac:dyDescent="0.2">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x14ac:dyDescent="0.2">
      <c r="A307" s="816" t="s">
        <v>571</v>
      </c>
      <c r="B307" s="817"/>
      <c r="C307" s="817"/>
      <c r="D307" s="817"/>
      <c r="E307" s="817"/>
      <c r="F307" s="817"/>
      <c r="G307" s="817"/>
      <c r="H307" s="817"/>
      <c r="I307" s="817"/>
      <c r="J307" s="817"/>
      <c r="K307" s="817"/>
      <c r="L307" s="817"/>
      <c r="M307" s="817"/>
    </row>
    <row r="308" spans="1:13" x14ac:dyDescent="0.2">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x14ac:dyDescent="0.2">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x14ac:dyDescent="0.2">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x14ac:dyDescent="0.2">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x14ac:dyDescent="0.2">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x14ac:dyDescent="0.2">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x14ac:dyDescent="0.2">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x14ac:dyDescent="0.2">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x14ac:dyDescent="0.2">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x14ac:dyDescent="0.2">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x14ac:dyDescent="0.2">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x14ac:dyDescent="0.2">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x14ac:dyDescent="0.2">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x14ac:dyDescent="0.2">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x14ac:dyDescent="0.2">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x14ac:dyDescent="0.2">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x14ac:dyDescent="0.2">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x14ac:dyDescent="0.2">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x14ac:dyDescent="0.2">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x14ac:dyDescent="0.2">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x14ac:dyDescent="0.2">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x14ac:dyDescent="0.2">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x14ac:dyDescent="0.2">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x14ac:dyDescent="0.2">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x14ac:dyDescent="0.2">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x14ac:dyDescent="0.2">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x14ac:dyDescent="0.2">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x14ac:dyDescent="0.2">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x14ac:dyDescent="0.2">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x14ac:dyDescent="0.2">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x14ac:dyDescent="0.2">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x14ac:dyDescent="0.2">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x14ac:dyDescent="0.2">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x14ac:dyDescent="0.2">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x14ac:dyDescent="0.2">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x14ac:dyDescent="0.2">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x14ac:dyDescent="0.2">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x14ac:dyDescent="0.2">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x14ac:dyDescent="0.2">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x14ac:dyDescent="0.2">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x14ac:dyDescent="0.2">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x14ac:dyDescent="0.2">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x14ac:dyDescent="0.2">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x14ac:dyDescent="0.2">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x14ac:dyDescent="0.2">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x14ac:dyDescent="0.2">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x14ac:dyDescent="0.2">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x14ac:dyDescent="0.2">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x14ac:dyDescent="0.2">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x14ac:dyDescent="0.2">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x14ac:dyDescent="0.2">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x14ac:dyDescent="0.2">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x14ac:dyDescent="0.2">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x14ac:dyDescent="0.2">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x14ac:dyDescent="0.2">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x14ac:dyDescent="0.2">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x14ac:dyDescent="0.2">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x14ac:dyDescent="0.2">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x14ac:dyDescent="0.2">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x14ac:dyDescent="0.2">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x14ac:dyDescent="0.2">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x14ac:dyDescent="0.2">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x14ac:dyDescent="0.2">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x14ac:dyDescent="0.2">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x14ac:dyDescent="0.2">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x14ac:dyDescent="0.2">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x14ac:dyDescent="0.2">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x14ac:dyDescent="0.2">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x14ac:dyDescent="0.2">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x14ac:dyDescent="0.2">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x14ac:dyDescent="0.2">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x14ac:dyDescent="0.2">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x14ac:dyDescent="0.2">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x14ac:dyDescent="0.2">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x14ac:dyDescent="0.2">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x14ac:dyDescent="0.2">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x14ac:dyDescent="0.2">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x14ac:dyDescent="0.2">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x14ac:dyDescent="0.2">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x14ac:dyDescent="0.2">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x14ac:dyDescent="0.2">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x14ac:dyDescent="0.2">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x14ac:dyDescent="0.2">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x14ac:dyDescent="0.2">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x14ac:dyDescent="0.2">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x14ac:dyDescent="0.2">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x14ac:dyDescent="0.2">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x14ac:dyDescent="0.2">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x14ac:dyDescent="0.2">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x14ac:dyDescent="0.2">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x14ac:dyDescent="0.2">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x14ac:dyDescent="0.2">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x14ac:dyDescent="0.2">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x14ac:dyDescent="0.2">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x14ac:dyDescent="0.2">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x14ac:dyDescent="0.2">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x14ac:dyDescent="0.2">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x14ac:dyDescent="0.2">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x14ac:dyDescent="0.2">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x14ac:dyDescent="0.2">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x14ac:dyDescent="0.2">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P21"/>
  <sheetViews>
    <sheetView view="pageBreakPreview" zoomScaleSheetLayoutView="100" workbookViewId="0">
      <selection activeCell="H3" sqref="H3"/>
    </sheetView>
  </sheetViews>
  <sheetFormatPr baseColWidth="10" defaultColWidth="9" defaultRowHeight="14" x14ac:dyDescent="0.2"/>
  <cols>
    <col min="1" max="1" width="23.33203125" style="1612" customWidth="1"/>
    <col min="2" max="2" width="12.5" style="1612" customWidth="1"/>
    <col min="3" max="3" width="12.1640625" style="1612" customWidth="1"/>
    <col min="4" max="4" width="14.1640625" style="1612" customWidth="1"/>
    <col min="5" max="5" width="12.5" style="1612" customWidth="1"/>
    <col min="6" max="16384" width="9" style="1612"/>
  </cols>
  <sheetData>
    <row r="1" spans="1:16" ht="20" x14ac:dyDescent="0.2">
      <c r="A1" s="2003" t="s">
        <v>2581</v>
      </c>
      <c r="B1" s="2313"/>
      <c r="C1" s="2313"/>
      <c r="D1" s="2313"/>
      <c r="E1" s="2313"/>
      <c r="F1" s="2973"/>
      <c r="G1" s="2973"/>
      <c r="H1" s="2973"/>
      <c r="I1" s="2973"/>
      <c r="J1" s="2973"/>
      <c r="K1" s="2973"/>
      <c r="L1" s="2973"/>
      <c r="M1" s="2973"/>
      <c r="N1" s="2973"/>
      <c r="O1" s="2973"/>
      <c r="P1" s="2973"/>
    </row>
    <row r="2" spans="1:16" ht="16" x14ac:dyDescent="0.2">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6" x14ac:dyDescent="0.2">
      <c r="A3" s="2311" t="s">
        <v>2576</v>
      </c>
      <c r="B3" s="2777" t="e">
        <f ca="1">ROUND(B2*10000/E2,0)</f>
        <v>#DIV/0!</v>
      </c>
      <c r="C3" s="2311" t="s">
        <v>2582</v>
      </c>
      <c r="D3" s="2973"/>
      <c r="E3" s="2973"/>
      <c r="F3" s="2973"/>
      <c r="G3" s="2973"/>
      <c r="H3" s="2973"/>
      <c r="I3" s="2973"/>
      <c r="J3" s="2973"/>
      <c r="K3" s="2973"/>
      <c r="L3" s="2973"/>
      <c r="M3" s="2973"/>
      <c r="N3" s="2973"/>
      <c r="O3" s="2973"/>
      <c r="P3" s="2973"/>
    </row>
    <row r="4" spans="1:16" ht="16" x14ac:dyDescent="0.2">
      <c r="A4" s="2974"/>
      <c r="B4" s="2973"/>
      <c r="C4" s="2973"/>
      <c r="D4" s="2973"/>
      <c r="E4" s="2973"/>
      <c r="F4" s="2973"/>
      <c r="G4" s="2973"/>
      <c r="H4" s="2973"/>
      <c r="I4" s="2973"/>
      <c r="J4" s="2973"/>
      <c r="K4" s="2973"/>
      <c r="L4" s="2973"/>
      <c r="M4" s="2973"/>
      <c r="N4" s="2973"/>
      <c r="O4" s="2973"/>
      <c r="P4" s="2973"/>
    </row>
    <row r="5" spans="1:16" ht="30" x14ac:dyDescent="0.2">
      <c r="A5" s="2783" t="s">
        <v>2577</v>
      </c>
      <c r="B5" s="2785" t="s">
        <v>2578</v>
      </c>
      <c r="C5" s="2312"/>
      <c r="D5" s="2973"/>
      <c r="E5" s="2786" t="s">
        <v>2579</v>
      </c>
      <c r="F5" s="2973"/>
      <c r="G5" s="2973"/>
      <c r="H5" s="2973"/>
      <c r="I5" s="2973"/>
      <c r="J5" s="2973"/>
      <c r="K5" s="2973"/>
      <c r="L5" s="2973"/>
      <c r="M5" s="2973"/>
      <c r="N5" s="2973"/>
      <c r="O5" s="2973"/>
      <c r="P5" s="2973"/>
    </row>
    <row r="6" spans="1:16" ht="16" x14ac:dyDescent="0.2">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6" x14ac:dyDescent="0.2">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6" x14ac:dyDescent="0.2">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6" x14ac:dyDescent="0.2">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6" x14ac:dyDescent="0.2">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6" x14ac:dyDescent="0.2">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6" x14ac:dyDescent="0.2">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6" x14ac:dyDescent="0.2">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x14ac:dyDescent="0.2">
      <c r="A14" s="2973"/>
      <c r="B14" s="2973"/>
      <c r="C14" s="2973"/>
      <c r="D14" s="2973"/>
      <c r="E14" s="2973"/>
      <c r="F14" s="2973"/>
      <c r="G14" s="2973"/>
      <c r="H14" s="2973"/>
      <c r="I14" s="2973"/>
      <c r="J14" s="2973"/>
      <c r="K14" s="2973"/>
      <c r="L14" s="2973"/>
      <c r="M14" s="2973"/>
      <c r="N14" s="2973"/>
      <c r="O14" s="2973"/>
      <c r="P14" s="2973"/>
    </row>
    <row r="15" spans="1:16" x14ac:dyDescent="0.2">
      <c r="A15" s="2973"/>
      <c r="B15" s="2973"/>
      <c r="C15" s="2973"/>
      <c r="D15" s="2973"/>
      <c r="E15" s="2973"/>
      <c r="F15" s="2973"/>
      <c r="G15" s="2973"/>
      <c r="H15" s="2973"/>
      <c r="I15" s="2973"/>
      <c r="J15" s="2973"/>
      <c r="K15" s="2973"/>
      <c r="L15" s="2973"/>
      <c r="M15" s="2973"/>
      <c r="N15" s="2973"/>
      <c r="O15" s="2973"/>
      <c r="P15" s="2973"/>
    </row>
    <row r="16" spans="1:16" x14ac:dyDescent="0.2">
      <c r="A16" s="2973"/>
      <c r="B16" s="2973"/>
      <c r="C16" s="2973"/>
      <c r="D16" s="2973"/>
      <c r="E16" s="2973"/>
      <c r="F16" s="2973"/>
      <c r="G16" s="2973"/>
      <c r="H16" s="2973"/>
      <c r="I16" s="2973"/>
      <c r="J16" s="2973"/>
      <c r="K16" s="2973"/>
      <c r="L16" s="2973"/>
      <c r="M16" s="2973"/>
      <c r="N16" s="2973"/>
      <c r="O16" s="2973"/>
      <c r="P16" s="2973"/>
    </row>
    <row r="17" spans="1:16" x14ac:dyDescent="0.2">
      <c r="A17" s="2973"/>
      <c r="B17" s="2973"/>
      <c r="C17" s="2973"/>
      <c r="D17" s="2973"/>
      <c r="E17" s="2973"/>
      <c r="F17" s="2973"/>
      <c r="G17" s="2973"/>
      <c r="H17" s="2973"/>
      <c r="I17" s="2973"/>
      <c r="J17" s="2973"/>
      <c r="K17" s="2973"/>
      <c r="L17" s="2973"/>
      <c r="M17" s="2973"/>
      <c r="N17" s="2973"/>
      <c r="O17" s="2973"/>
      <c r="P17" s="2973"/>
    </row>
    <row r="18" spans="1:16" x14ac:dyDescent="0.2">
      <c r="A18" s="2973"/>
      <c r="B18" s="2973"/>
      <c r="C18" s="2973"/>
      <c r="D18" s="2973"/>
      <c r="E18" s="2973"/>
      <c r="F18" s="2973"/>
      <c r="G18" s="2973"/>
      <c r="H18" s="2973"/>
      <c r="I18" s="2973"/>
      <c r="J18" s="2973"/>
      <c r="K18" s="2973"/>
      <c r="L18" s="2973"/>
      <c r="M18" s="2973"/>
      <c r="N18" s="2973"/>
      <c r="O18" s="2973"/>
      <c r="P18" s="2973"/>
    </row>
    <row r="19" spans="1:16" x14ac:dyDescent="0.2">
      <c r="A19" s="2973"/>
      <c r="B19" s="2973"/>
      <c r="C19" s="2973"/>
      <c r="D19" s="2973"/>
      <c r="E19" s="2973"/>
      <c r="F19" s="2973"/>
      <c r="G19" s="2973"/>
      <c r="H19" s="2973"/>
      <c r="I19" s="2973"/>
      <c r="J19" s="2973"/>
      <c r="K19" s="2973"/>
      <c r="L19" s="2973"/>
      <c r="M19" s="2973"/>
      <c r="N19" s="2973"/>
      <c r="O19" s="2973"/>
      <c r="P19" s="2973"/>
    </row>
    <row r="20" spans="1:16" x14ac:dyDescent="0.2">
      <c r="A20" s="2973"/>
      <c r="B20" s="2973"/>
      <c r="C20" s="2973"/>
      <c r="D20" s="2973"/>
      <c r="E20" s="2973"/>
      <c r="F20" s="2973"/>
      <c r="G20" s="2973"/>
      <c r="H20" s="2973"/>
      <c r="I20" s="2973"/>
      <c r="J20" s="2973"/>
      <c r="K20" s="2973"/>
      <c r="L20" s="2973"/>
      <c r="M20" s="2973"/>
      <c r="N20" s="2973"/>
      <c r="O20" s="2973"/>
      <c r="P20" s="2973"/>
    </row>
    <row r="21" spans="1:16" x14ac:dyDescent="0.2">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20"/>
  <sheetViews>
    <sheetView zoomScale="80" zoomScaleNormal="80" workbookViewId="0">
      <selection activeCell="D36" sqref="D36"/>
    </sheetView>
  </sheetViews>
  <sheetFormatPr baseColWidth="10" defaultColWidth="9" defaultRowHeight="13" x14ac:dyDescent="0.2"/>
  <cols>
    <col min="1" max="1" width="9" style="2360"/>
    <col min="2" max="6" width="9" style="2360" customWidth="1"/>
    <col min="7" max="7" width="9" style="2398"/>
    <col min="8" max="8" width="9" style="2360"/>
    <col min="9" max="12" width="9" style="2360" customWidth="1"/>
    <col min="13" max="13" width="2.1640625" style="2360" customWidth="1"/>
    <col min="14" max="14" width="9" style="2398" customWidth="1"/>
    <col min="15" max="17" width="9" style="2360" customWidth="1"/>
    <col min="18" max="18" width="2.33203125" style="2360" customWidth="1"/>
    <col min="19" max="19" width="7.1640625" style="2398" customWidth="1"/>
    <col min="20" max="22" width="7.1640625" style="2360" customWidth="1"/>
    <col min="23" max="23" width="24.1640625" style="2360" customWidth="1"/>
    <col min="24" max="25" width="9" style="2360"/>
    <col min="26" max="27" width="11.6640625" style="2360" customWidth="1"/>
    <col min="28" max="28" width="9" style="2360"/>
    <col min="29" max="29" width="2" style="2360" customWidth="1"/>
    <col min="30" max="16384" width="9" style="2360"/>
  </cols>
  <sheetData>
    <row r="1" spans="1:34" s="2339" customFormat="1" ht="14" x14ac:dyDescent="0.2">
      <c r="B1" s="3774" t="s">
        <v>877</v>
      </c>
      <c r="C1" s="3774"/>
      <c r="D1" s="3774"/>
      <c r="E1" s="3774"/>
      <c r="F1" s="3774"/>
      <c r="G1" s="3773" t="s">
        <v>878</v>
      </c>
      <c r="H1" s="3773"/>
      <c r="I1" s="3773"/>
      <c r="J1" s="3773"/>
      <c r="K1" s="3773"/>
      <c r="L1" s="3773"/>
      <c r="N1" s="3773" t="s">
        <v>879</v>
      </c>
      <c r="O1" s="3773"/>
      <c r="P1" s="3773"/>
      <c r="Q1" s="3773"/>
      <c r="S1" s="3773" t="s">
        <v>880</v>
      </c>
      <c r="T1" s="3773"/>
      <c r="U1" s="3773"/>
      <c r="V1" s="3773"/>
      <c r="X1" s="3772" t="s">
        <v>881</v>
      </c>
      <c r="Y1" s="3773"/>
      <c r="Z1" s="3773"/>
      <c r="AA1" s="3773"/>
      <c r="AB1" s="3773"/>
      <c r="AD1" s="3772" t="s">
        <v>882</v>
      </c>
      <c r="AE1" s="3773"/>
      <c r="AF1" s="3773"/>
      <c r="AG1" s="3773"/>
      <c r="AH1" s="3773"/>
    </row>
    <row r="2" spans="1:34" s="2340" customFormat="1" ht="15" thickBot="1" x14ac:dyDescent="0.25">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 x14ac:dyDescent="0.2">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 x14ac:dyDescent="0.2">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ht="14" x14ac:dyDescent="0.2">
      <c r="A5" s="2362" t="s">
        <v>2943</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x14ac:dyDescent="0.2">
      <c r="A6" s="2373" t="s">
        <v>2942</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x14ac:dyDescent="0.2">
      <c r="A7" s="2373" t="s">
        <v>2819</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x14ac:dyDescent="0.2">
      <c r="A8" s="2373" t="s">
        <v>2818</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x14ac:dyDescent="0.2">
      <c r="A9" s="2373" t="s">
        <v>2817</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x14ac:dyDescent="0.2">
      <c r="A10" s="2373" t="s">
        <v>2814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x14ac:dyDescent="0.2">
      <c r="A11" s="2373" t="s">
        <v>2813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x14ac:dyDescent="0.2">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x14ac:dyDescent="0.2">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x14ac:dyDescent="0.2">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4" thickBot="1" x14ac:dyDescent="0.25">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x14ac:dyDescent="0.2">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4" thickBot="1" x14ac:dyDescent="0.25">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x14ac:dyDescent="0.2">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770">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5" customHeight="1" x14ac:dyDescent="0.2">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770"/>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5" customHeight="1" x14ac:dyDescent="0.2">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770"/>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x14ac:dyDescent="0.25">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779"/>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x14ac:dyDescent="0.2">
      <c r="A22" s="2373" t="s">
        <v>2611</v>
      </c>
      <c r="B22" s="2388">
        <v>439</v>
      </c>
      <c r="C22" s="2388">
        <v>327</v>
      </c>
      <c r="D22" s="2388">
        <f>C22</f>
        <v>327</v>
      </c>
      <c r="E22" s="2388">
        <v>627</v>
      </c>
      <c r="F22" s="2389">
        <v>283</v>
      </c>
      <c r="G22" s="3775">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5" customHeight="1" x14ac:dyDescent="0.2">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770"/>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5" customHeight="1" x14ac:dyDescent="0.2">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770"/>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x14ac:dyDescent="0.25">
      <c r="A25" s="2373" t="s">
        <v>888</v>
      </c>
      <c r="B25" s="2374">
        <f>B26*(1+N25)</f>
        <v>405.524</v>
      </c>
      <c r="C25" s="2374">
        <f>C26*(1+O25)</f>
        <v>307.79840000000002</v>
      </c>
      <c r="D25" s="2374">
        <f>C25</f>
        <v>307.79840000000002</v>
      </c>
      <c r="E25" s="2374">
        <f>E26*(1+P25)</f>
        <v>574.67759999999998</v>
      </c>
      <c r="F25" s="2374">
        <f>F26*(1+Q25)</f>
        <v>270.20280000000002</v>
      </c>
      <c r="G25" s="3779"/>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x14ac:dyDescent="0.2">
      <c r="A26" s="2373" t="s">
        <v>154</v>
      </c>
      <c r="B26" s="2388">
        <v>392</v>
      </c>
      <c r="C26" s="2388">
        <v>302</v>
      </c>
      <c r="D26" s="2388">
        <f>C26</f>
        <v>302</v>
      </c>
      <c r="E26" s="2388">
        <v>553</v>
      </c>
      <c r="F26" s="2389">
        <v>266</v>
      </c>
      <c r="G26" s="3775">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x14ac:dyDescent="0.2">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770"/>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x14ac:dyDescent="0.2">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770"/>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4" thickBot="1" x14ac:dyDescent="0.25">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771"/>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4" thickBot="1" x14ac:dyDescent="0.25">
      <c r="A30" s="2373" t="s">
        <v>151</v>
      </c>
      <c r="B30" s="2388">
        <v>333</v>
      </c>
      <c r="C30" s="2388">
        <v>277</v>
      </c>
      <c r="D30" s="2388">
        <f t="shared" si="213"/>
        <v>277</v>
      </c>
      <c r="E30" s="2388">
        <v>459</v>
      </c>
      <c r="F30" s="2389">
        <v>249</v>
      </c>
      <c r="G30" s="3769">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x14ac:dyDescent="0.2">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770"/>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x14ac:dyDescent="0.2">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770"/>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x14ac:dyDescent="0.2">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771"/>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4" thickBot="1" x14ac:dyDescent="0.25">
      <c r="A34" s="2373" t="s">
        <v>147</v>
      </c>
      <c r="B34" s="2402">
        <v>318</v>
      </c>
      <c r="C34" s="2402">
        <v>268</v>
      </c>
      <c r="D34" s="2402">
        <f t="shared" si="213"/>
        <v>268</v>
      </c>
      <c r="E34" s="2402">
        <v>437</v>
      </c>
      <c r="F34" s="2403">
        <v>237</v>
      </c>
      <c r="G34" s="3769">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x14ac:dyDescent="0.2">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770"/>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4" thickBot="1" x14ac:dyDescent="0.25">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770"/>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5" thickBot="1" x14ac:dyDescent="0.25">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771"/>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4" thickBot="1" x14ac:dyDescent="0.25">
      <c r="A38" s="2373" t="s">
        <v>890</v>
      </c>
      <c r="B38" s="2388">
        <v>299</v>
      </c>
      <c r="C38" s="2388">
        <v>252</v>
      </c>
      <c r="D38" s="2388">
        <f t="shared" si="213"/>
        <v>252</v>
      </c>
      <c r="E38" s="2388">
        <v>409</v>
      </c>
      <c r="F38" s="2389">
        <v>227</v>
      </c>
      <c r="G38" s="3776">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x14ac:dyDescent="0.2">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777"/>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ht="14" x14ac:dyDescent="0.2">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777"/>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x14ac:dyDescent="0.2">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778"/>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4" thickBot="1" x14ac:dyDescent="0.25">
      <c r="A42" s="2373" t="s">
        <v>894</v>
      </c>
      <c r="B42" s="2423">
        <v>278</v>
      </c>
      <c r="C42" s="2423">
        <v>234</v>
      </c>
      <c r="D42" s="2423">
        <f t="shared" si="213"/>
        <v>234</v>
      </c>
      <c r="E42" s="2423">
        <v>379</v>
      </c>
      <c r="F42" s="2424">
        <v>220</v>
      </c>
      <c r="G42" s="3769">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x14ac:dyDescent="0.2">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770"/>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x14ac:dyDescent="0.2">
      <c r="A44" s="2373" t="s">
        <v>896</v>
      </c>
      <c r="B44" s="2374">
        <f>B43/(1+N43)</f>
        <v>275.24529281292263</v>
      </c>
      <c r="C44" s="2374">
        <f>C43/(1+O43)</f>
        <v>231.74747938962707</v>
      </c>
      <c r="D44" s="2374">
        <f t="shared" si="213"/>
        <v>231.74747938962707</v>
      </c>
      <c r="E44" s="2374">
        <f t="shared" si="224"/>
        <v>375.35938184826603</v>
      </c>
      <c r="F44" s="2374">
        <f t="shared" si="224"/>
        <v>216.78033510692495</v>
      </c>
      <c r="G44" s="3770"/>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4" thickBot="1" x14ac:dyDescent="0.25">
      <c r="A45" s="2373" t="s">
        <v>897</v>
      </c>
      <c r="B45" s="2374">
        <f>B44/(1+N44)</f>
        <v>275.19025476197027</v>
      </c>
      <c r="C45" s="2425">
        <v>232</v>
      </c>
      <c r="D45" s="2425">
        <f t="shared" si="213"/>
        <v>232</v>
      </c>
      <c r="E45" s="2374">
        <f t="shared" si="224"/>
        <v>375.65990977608692</v>
      </c>
      <c r="F45" s="2374">
        <f t="shared" si="224"/>
        <v>214.12518283971252</v>
      </c>
      <c r="G45" s="3771"/>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4" thickBot="1" x14ac:dyDescent="0.25">
      <c r="A46" s="2373" t="s">
        <v>898</v>
      </c>
      <c r="B46" s="2388">
        <v>275</v>
      </c>
      <c r="C46" s="2388">
        <v>232</v>
      </c>
      <c r="D46" s="2388">
        <f t="shared" si="213"/>
        <v>232</v>
      </c>
      <c r="E46" s="2388">
        <v>376</v>
      </c>
      <c r="F46" s="2389">
        <v>213</v>
      </c>
      <c r="G46" s="3769">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x14ac:dyDescent="0.2">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770">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x14ac:dyDescent="0.2">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770">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4" thickBot="1" x14ac:dyDescent="0.25">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771">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4" thickBot="1" x14ac:dyDescent="0.25">
      <c r="A50" s="2373" t="s">
        <v>902</v>
      </c>
      <c r="B50" s="2388">
        <v>269</v>
      </c>
      <c r="C50" s="2388">
        <v>221</v>
      </c>
      <c r="D50" s="2388">
        <f t="shared" si="213"/>
        <v>221</v>
      </c>
      <c r="E50" s="2388">
        <v>373</v>
      </c>
      <c r="F50" s="2389">
        <v>196</v>
      </c>
      <c r="G50" s="3769">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x14ac:dyDescent="0.2">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770">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x14ac:dyDescent="0.2">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770">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4" thickBot="1" x14ac:dyDescent="0.25">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771">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4" thickBot="1" x14ac:dyDescent="0.25">
      <c r="A54" s="2373" t="s">
        <v>906</v>
      </c>
      <c r="B54" s="2388">
        <v>220</v>
      </c>
      <c r="C54" s="2388">
        <v>187</v>
      </c>
      <c r="D54" s="2388">
        <f t="shared" si="213"/>
        <v>187</v>
      </c>
      <c r="E54" s="2388">
        <v>301</v>
      </c>
      <c r="F54" s="2389">
        <v>168</v>
      </c>
      <c r="G54" s="3769">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x14ac:dyDescent="0.2">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770">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x14ac:dyDescent="0.2">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770">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x14ac:dyDescent="0.2">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771">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4" thickBot="1" x14ac:dyDescent="0.25">
      <c r="A58" s="2373" t="s">
        <v>910</v>
      </c>
      <c r="B58" s="2423">
        <v>214</v>
      </c>
      <c r="C58" s="2423">
        <v>188</v>
      </c>
      <c r="D58" s="2423">
        <f t="shared" si="213"/>
        <v>188</v>
      </c>
      <c r="E58" s="2423">
        <v>289</v>
      </c>
      <c r="F58" s="2424">
        <v>166</v>
      </c>
      <c r="G58" s="3769">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x14ac:dyDescent="0.2">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770">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x14ac:dyDescent="0.2">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770">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4" thickBot="1" x14ac:dyDescent="0.25">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771">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4" thickBot="1" x14ac:dyDescent="0.25">
      <c r="A62" s="2373" t="s">
        <v>914</v>
      </c>
      <c r="B62" s="2388">
        <v>188</v>
      </c>
      <c r="C62" s="2388">
        <v>165</v>
      </c>
      <c r="D62" s="2388">
        <f t="shared" si="213"/>
        <v>165</v>
      </c>
      <c r="E62" s="2388">
        <v>254</v>
      </c>
      <c r="F62" s="2389">
        <v>148</v>
      </c>
      <c r="G62" s="3769">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x14ac:dyDescent="0.2">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770">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x14ac:dyDescent="0.2">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770">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x14ac:dyDescent="0.2">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771">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4" thickBot="1" x14ac:dyDescent="0.25">
      <c r="A66" s="2373" t="s">
        <v>918</v>
      </c>
      <c r="B66" s="2402">
        <v>159</v>
      </c>
      <c r="C66" s="2402">
        <v>141</v>
      </c>
      <c r="D66" s="2402">
        <f t="shared" si="213"/>
        <v>141</v>
      </c>
      <c r="E66" s="2402">
        <v>195</v>
      </c>
      <c r="F66" s="2403">
        <v>122</v>
      </c>
      <c r="G66" s="3769">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x14ac:dyDescent="0.2">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770">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x14ac:dyDescent="0.2">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770">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x14ac:dyDescent="0.2">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771">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4" thickBot="1" x14ac:dyDescent="0.25">
      <c r="A70" s="2373" t="s">
        <v>922</v>
      </c>
      <c r="B70" s="2402">
        <v>138</v>
      </c>
      <c r="C70" s="2402">
        <v>131</v>
      </c>
      <c r="D70" s="2402">
        <f t="shared" si="213"/>
        <v>131</v>
      </c>
      <c r="E70" s="2402">
        <v>155</v>
      </c>
      <c r="F70" s="2403">
        <v>114</v>
      </c>
      <c r="G70" s="3769">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x14ac:dyDescent="0.2">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770">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x14ac:dyDescent="0.2">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770">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x14ac:dyDescent="0.2">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771">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4" thickBot="1" x14ac:dyDescent="0.25">
      <c r="A74" s="2373" t="s">
        <v>926</v>
      </c>
      <c r="B74" s="2423">
        <v>121</v>
      </c>
      <c r="C74" s="2423">
        <v>122</v>
      </c>
      <c r="D74" s="2423">
        <f t="shared" si="213"/>
        <v>122</v>
      </c>
      <c r="E74" s="2423">
        <v>124</v>
      </c>
      <c r="F74" s="2424">
        <v>107</v>
      </c>
      <c r="G74" s="3769">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x14ac:dyDescent="0.2">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770">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x14ac:dyDescent="0.2">
      <c r="A76" s="2373" t="s">
        <v>928</v>
      </c>
      <c r="B76" s="2374">
        <f t="shared" si="247"/>
        <v>116.99099099099099</v>
      </c>
      <c r="C76" s="2374">
        <f t="shared" si="247"/>
        <v>118.84848484848486</v>
      </c>
      <c r="D76" s="2374">
        <f t="shared" si="213"/>
        <v>118.84848484848486</v>
      </c>
      <c r="E76" s="2374">
        <f t="shared" si="248"/>
        <v>117.60960960960961</v>
      </c>
      <c r="F76" s="2374">
        <f t="shared" si="248"/>
        <v>104</v>
      </c>
      <c r="G76" s="3770">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4" thickBot="1" x14ac:dyDescent="0.25">
      <c r="A77" s="2373" t="s">
        <v>929</v>
      </c>
      <c r="B77" s="2426">
        <f t="shared" si="247"/>
        <v>112.48648648648648</v>
      </c>
      <c r="C77" s="2426">
        <f t="shared" si="247"/>
        <v>115.21212121212122</v>
      </c>
      <c r="D77" s="2426">
        <f t="shared" si="213"/>
        <v>115.21212121212122</v>
      </c>
      <c r="E77" s="2426">
        <f t="shared" si="248"/>
        <v>110.4024024024024</v>
      </c>
      <c r="F77" s="2426">
        <f t="shared" si="248"/>
        <v>104</v>
      </c>
      <c r="G77" s="3771">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4" thickBot="1" x14ac:dyDescent="0.25">
      <c r="A78" s="2373" t="s">
        <v>930</v>
      </c>
      <c r="B78" s="2443">
        <v>111</v>
      </c>
      <c r="C78" s="2443">
        <v>114</v>
      </c>
      <c r="D78" s="2443">
        <f t="shared" si="213"/>
        <v>114</v>
      </c>
      <c r="E78" s="2443">
        <v>108</v>
      </c>
      <c r="F78" s="2444">
        <v>104</v>
      </c>
      <c r="G78" s="3769">
        <v>2003</v>
      </c>
      <c r="H78" s="2433">
        <v>4</v>
      </c>
      <c r="I78" s="2445"/>
      <c r="J78" s="2445"/>
      <c r="K78" s="2445"/>
      <c r="L78" s="2445"/>
      <c r="N78" s="2446"/>
      <c r="O78" s="2445"/>
      <c r="P78" s="2445"/>
      <c r="Q78" s="2445"/>
      <c r="S78" s="2446"/>
      <c r="T78" s="2445"/>
      <c r="U78" s="2445"/>
      <c r="V78" s="2445"/>
      <c r="X78" s="2437"/>
      <c r="Y78" s="2437"/>
      <c r="Z78" s="2437"/>
    </row>
    <row r="79" spans="1:26" x14ac:dyDescent="0.2">
      <c r="A79" s="2373" t="s">
        <v>931</v>
      </c>
      <c r="B79" s="2447">
        <f t="shared" ref="B79:C81" si="249">B80+(B$78-B$82)/4</f>
        <v>109.75</v>
      </c>
      <c r="C79" s="2447">
        <f t="shared" si="249"/>
        <v>112.25</v>
      </c>
      <c r="D79" s="2447">
        <f t="shared" si="213"/>
        <v>112.25</v>
      </c>
      <c r="E79" s="2447">
        <f t="shared" ref="E79:F81" si="250">E80+(E$78-E$82)/4</f>
        <v>107.25</v>
      </c>
      <c r="F79" s="2447">
        <f t="shared" si="250"/>
        <v>103.5</v>
      </c>
      <c r="G79" s="3770">
        <v>2003</v>
      </c>
      <c r="H79" s="2399">
        <v>3</v>
      </c>
      <c r="I79" s="2445"/>
      <c r="J79" s="2445"/>
      <c r="K79" s="2445"/>
      <c r="L79" s="2445"/>
      <c r="X79" s="2437"/>
      <c r="Y79" s="2437"/>
      <c r="Z79" s="2437"/>
    </row>
    <row r="80" spans="1:26" x14ac:dyDescent="0.2">
      <c r="A80" s="2373" t="s">
        <v>932</v>
      </c>
      <c r="B80" s="2447">
        <f t="shared" si="249"/>
        <v>108.5</v>
      </c>
      <c r="C80" s="2447">
        <f t="shared" si="249"/>
        <v>110.5</v>
      </c>
      <c r="D80" s="2447">
        <f t="shared" si="213"/>
        <v>110.5</v>
      </c>
      <c r="E80" s="2447">
        <f t="shared" si="250"/>
        <v>106.5</v>
      </c>
      <c r="F80" s="2447">
        <f t="shared" si="250"/>
        <v>103</v>
      </c>
      <c r="G80" s="3770">
        <v>2003</v>
      </c>
      <c r="H80" s="2386">
        <v>2</v>
      </c>
      <c r="I80" s="2445"/>
      <c r="J80" s="2445"/>
      <c r="K80" s="2445"/>
      <c r="L80" s="2445"/>
      <c r="X80" s="2437"/>
      <c r="Y80" s="2437"/>
      <c r="Z80" s="2437"/>
    </row>
    <row r="81" spans="1:26" ht="14" thickBot="1" x14ac:dyDescent="0.25">
      <c r="A81" s="2373" t="s">
        <v>933</v>
      </c>
      <c r="B81" s="2447">
        <f t="shared" si="249"/>
        <v>107.25</v>
      </c>
      <c r="C81" s="2447">
        <f t="shared" si="249"/>
        <v>108.75</v>
      </c>
      <c r="D81" s="2447">
        <f t="shared" si="213"/>
        <v>108.75</v>
      </c>
      <c r="E81" s="2447">
        <f t="shared" si="250"/>
        <v>105.75</v>
      </c>
      <c r="F81" s="2447">
        <f t="shared" si="250"/>
        <v>102.5</v>
      </c>
      <c r="G81" s="3771">
        <v>2003</v>
      </c>
      <c r="H81" s="2448">
        <v>1</v>
      </c>
      <c r="I81" s="2445"/>
      <c r="J81" s="2445"/>
      <c r="K81" s="2445"/>
      <c r="L81" s="2445"/>
      <c r="S81" s="2376"/>
      <c r="T81" s="2361"/>
      <c r="U81" s="2361"/>
      <c r="X81" s="2437"/>
      <c r="Y81" s="2437"/>
      <c r="Z81" s="2437"/>
    </row>
    <row r="82" spans="1:26" ht="14" thickBot="1" x14ac:dyDescent="0.25">
      <c r="A82" s="2373" t="s">
        <v>934</v>
      </c>
      <c r="B82" s="2449">
        <v>106</v>
      </c>
      <c r="C82" s="2449">
        <v>107</v>
      </c>
      <c r="D82" s="2449">
        <f t="shared" si="213"/>
        <v>107</v>
      </c>
      <c r="E82" s="2449">
        <v>105</v>
      </c>
      <c r="F82" s="2450">
        <v>102</v>
      </c>
      <c r="G82" s="3769">
        <v>2002</v>
      </c>
      <c r="H82" s="2394">
        <v>4</v>
      </c>
      <c r="I82" s="2445"/>
      <c r="J82" s="2445"/>
      <c r="K82" s="2445"/>
      <c r="L82" s="2445"/>
      <c r="N82" s="2446"/>
      <c r="O82" s="2445"/>
      <c r="P82" s="2445"/>
      <c r="Q82" s="2445"/>
      <c r="S82" s="2446"/>
      <c r="T82" s="2445"/>
      <c r="U82" s="2445"/>
      <c r="V82" s="2445"/>
      <c r="X82" s="2437"/>
      <c r="Y82" s="2437"/>
      <c r="Z82" s="2437"/>
    </row>
    <row r="83" spans="1:26" x14ac:dyDescent="0.2">
      <c r="A83" s="2373" t="s">
        <v>935</v>
      </c>
      <c r="B83" s="2447">
        <f t="shared" ref="B83:C85" si="251">B84+(B$82-B$86)/4</f>
        <v>105</v>
      </c>
      <c r="C83" s="2447">
        <f t="shared" si="251"/>
        <v>106</v>
      </c>
      <c r="D83" s="2447">
        <f t="shared" si="213"/>
        <v>106</v>
      </c>
      <c r="E83" s="2447">
        <f t="shared" ref="E83:F85" si="252">E84+(E$82-E$86)/4</f>
        <v>104.5</v>
      </c>
      <c r="F83" s="2447">
        <f t="shared" si="252"/>
        <v>101.5</v>
      </c>
      <c r="G83" s="3770">
        <v>2002</v>
      </c>
      <c r="H83" s="2399">
        <v>3</v>
      </c>
      <c r="I83" s="2445"/>
      <c r="J83" s="2445"/>
      <c r="K83" s="2445"/>
      <c r="L83" s="2445"/>
      <c r="X83" s="2437"/>
      <c r="Y83" s="2437"/>
      <c r="Z83" s="2437"/>
    </row>
    <row r="84" spans="1:26" x14ac:dyDescent="0.2">
      <c r="A84" s="2373" t="s">
        <v>936</v>
      </c>
      <c r="B84" s="2447">
        <f t="shared" si="251"/>
        <v>104</v>
      </c>
      <c r="C84" s="2447">
        <f t="shared" si="251"/>
        <v>105</v>
      </c>
      <c r="D84" s="2447">
        <f t="shared" si="213"/>
        <v>105</v>
      </c>
      <c r="E84" s="2447">
        <f t="shared" si="252"/>
        <v>104</v>
      </c>
      <c r="F84" s="2447">
        <f t="shared" si="252"/>
        <v>101</v>
      </c>
      <c r="G84" s="3770">
        <v>2002</v>
      </c>
      <c r="H84" s="2386">
        <v>2</v>
      </c>
      <c r="I84" s="2445"/>
      <c r="J84" s="2445"/>
      <c r="K84" s="2445"/>
      <c r="L84" s="2445"/>
      <c r="X84" s="2437"/>
      <c r="Y84" s="2437"/>
      <c r="Z84" s="2437"/>
    </row>
    <row r="85" spans="1:26" s="2410" customFormat="1" ht="14" thickBot="1" x14ac:dyDescent="0.25">
      <c r="A85" s="2406" t="s">
        <v>937</v>
      </c>
      <c r="B85" s="2413">
        <f t="shared" si="251"/>
        <v>103</v>
      </c>
      <c r="C85" s="2413">
        <f t="shared" si="251"/>
        <v>104</v>
      </c>
      <c r="D85" s="2413">
        <f t="shared" si="213"/>
        <v>104</v>
      </c>
      <c r="E85" s="2413">
        <f t="shared" si="252"/>
        <v>103.5</v>
      </c>
      <c r="F85" s="2413">
        <f t="shared" si="252"/>
        <v>100.5</v>
      </c>
      <c r="G85" s="3771">
        <v>2002</v>
      </c>
      <c r="H85" s="2451">
        <v>1</v>
      </c>
      <c r="I85" s="2452"/>
      <c r="J85" s="2452"/>
      <c r="K85" s="2452"/>
      <c r="L85" s="2452"/>
      <c r="N85" s="2453"/>
      <c r="S85" s="2453"/>
      <c r="X85" s="2454"/>
      <c r="Y85" s="2454"/>
      <c r="Z85" s="2454"/>
    </row>
    <row r="86" spans="1:26" ht="14" thickBot="1" x14ac:dyDescent="0.25">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ht="14" x14ac:dyDescent="0.2">
      <c r="A88" s="2458" t="s">
        <v>938</v>
      </c>
      <c r="G88" s="2460"/>
      <c r="N88" s="2460"/>
      <c r="S88" s="2460"/>
    </row>
    <row r="89" spans="1:26" s="2459" customFormat="1" ht="14" x14ac:dyDescent="0.2">
      <c r="A89" s="2459" t="s">
        <v>939</v>
      </c>
      <c r="G89" s="2460"/>
      <c r="N89" s="2460"/>
      <c r="S89" s="2460"/>
    </row>
    <row r="90" spans="1:26" s="2459" customFormat="1" ht="14" x14ac:dyDescent="0.2">
      <c r="A90" s="2459" t="s">
        <v>940</v>
      </c>
      <c r="G90" s="2460"/>
      <c r="I90" s="2461"/>
      <c r="J90" s="2461"/>
      <c r="K90" s="2461"/>
      <c r="L90" s="2461"/>
      <c r="N90" s="2462"/>
      <c r="O90" s="2461"/>
      <c r="P90" s="2461"/>
      <c r="Q90" s="2461"/>
      <c r="S90" s="2462"/>
      <c r="T90" s="2461"/>
      <c r="U90" s="2461"/>
      <c r="V90" s="2461"/>
    </row>
    <row r="91" spans="1:26" s="2459" customFormat="1" ht="14" x14ac:dyDescent="0.2">
      <c r="A91" s="2459" t="s">
        <v>941</v>
      </c>
      <c r="G91" s="2460"/>
      <c r="N91" s="2460"/>
      <c r="S91" s="2460"/>
    </row>
    <row r="98" spans="7:22" ht="14" thickBot="1" x14ac:dyDescent="0.25"/>
    <row r="99" spans="7:22" ht="14" x14ac:dyDescent="0.2">
      <c r="G99" s="2360"/>
      <c r="S99" s="2463" t="s">
        <v>942</v>
      </c>
      <c r="T99" s="2464" t="s">
        <v>943</v>
      </c>
      <c r="U99" s="2464" t="s">
        <v>944</v>
      </c>
      <c r="V99" s="2464" t="s">
        <v>945</v>
      </c>
    </row>
    <row r="100" spans="7:22" x14ac:dyDescent="0.2">
      <c r="G100" s="2360"/>
      <c r="N100" s="2390"/>
      <c r="O100" s="2391"/>
      <c r="P100" s="2391"/>
      <c r="Q100" s="2391"/>
      <c r="S100" s="2465">
        <v>2006</v>
      </c>
      <c r="T100" s="2466">
        <v>15.1</v>
      </c>
      <c r="U100" s="2466">
        <v>7.43</v>
      </c>
      <c r="V100" s="2466">
        <v>26.26</v>
      </c>
    </row>
    <row r="101" spans="7:22" x14ac:dyDescent="0.2">
      <c r="G101" s="2360"/>
      <c r="N101" s="2390"/>
      <c r="O101" s="2391"/>
      <c r="P101" s="2391"/>
      <c r="Q101" s="2391"/>
      <c r="S101" s="2467">
        <v>2005</v>
      </c>
      <c r="T101" s="2468">
        <v>13.9</v>
      </c>
      <c r="U101" s="2468">
        <v>7.49</v>
      </c>
      <c r="V101" s="2468">
        <v>24.92</v>
      </c>
    </row>
    <row r="102" spans="7:22" x14ac:dyDescent="0.2">
      <c r="G102" s="2360"/>
      <c r="N102" s="2390"/>
      <c r="O102" s="2391"/>
      <c r="P102" s="2391"/>
      <c r="Q102" s="2391"/>
      <c r="S102" s="2465">
        <v>2004</v>
      </c>
      <c r="T102" s="2466">
        <v>9.48</v>
      </c>
      <c r="U102" s="2466">
        <v>7.2</v>
      </c>
      <c r="V102" s="2466">
        <v>14.68</v>
      </c>
    </row>
    <row r="103" spans="7:22" x14ac:dyDescent="0.2">
      <c r="G103" s="2360"/>
      <c r="N103" s="2390"/>
      <c r="O103" s="2391"/>
      <c r="P103" s="2391"/>
      <c r="Q103" s="2391"/>
      <c r="S103" s="2467">
        <v>2003</v>
      </c>
      <c r="T103" s="2468">
        <v>4.5</v>
      </c>
      <c r="U103" s="2468">
        <v>6.12</v>
      </c>
      <c r="V103" s="2468">
        <v>2.34</v>
      </c>
    </row>
    <row r="104" spans="7:22" ht="14" thickBot="1" x14ac:dyDescent="0.25">
      <c r="G104" s="2360"/>
      <c r="N104" s="2390"/>
      <c r="O104" s="2391"/>
      <c r="P104" s="2391"/>
      <c r="Q104" s="2391"/>
      <c r="S104" s="2469">
        <v>2002</v>
      </c>
      <c r="T104" s="2470">
        <v>3.59</v>
      </c>
      <c r="U104" s="2470">
        <v>4.54</v>
      </c>
      <c r="V104" s="2470">
        <v>2.5499999999999998</v>
      </c>
    </row>
    <row r="105" spans="7:22" x14ac:dyDescent="0.2">
      <c r="G105" s="2360"/>
      <c r="N105" s="2390"/>
      <c r="O105" s="2391"/>
      <c r="P105" s="2391"/>
      <c r="Q105" s="2391"/>
    </row>
    <row r="106" spans="7:22" x14ac:dyDescent="0.2">
      <c r="G106" s="2360"/>
      <c r="N106" s="2390"/>
      <c r="O106" s="2391"/>
      <c r="P106" s="2391"/>
      <c r="Q106" s="2391"/>
    </row>
    <row r="107" spans="7:22" x14ac:dyDescent="0.2">
      <c r="G107" s="2360"/>
      <c r="N107" s="2390"/>
      <c r="O107" s="2391"/>
      <c r="P107" s="2391"/>
      <c r="Q107" s="2391"/>
    </row>
    <row r="108" spans="7:22" x14ac:dyDescent="0.2">
      <c r="G108" s="2360"/>
      <c r="N108" s="2390"/>
      <c r="O108" s="2391"/>
      <c r="P108" s="2391"/>
      <c r="Q108" s="2391"/>
    </row>
    <row r="109" spans="7:22" x14ac:dyDescent="0.2">
      <c r="G109" s="2360"/>
      <c r="N109" s="2390"/>
      <c r="O109" s="2391"/>
      <c r="P109" s="2391"/>
      <c r="Q109" s="2391"/>
    </row>
    <row r="110" spans="7:22" x14ac:dyDescent="0.2">
      <c r="G110" s="2360"/>
      <c r="N110" s="2390"/>
      <c r="O110" s="2391"/>
      <c r="P110" s="2391"/>
      <c r="Q110" s="2391"/>
    </row>
    <row r="111" spans="7:22" x14ac:dyDescent="0.2">
      <c r="G111" s="2360"/>
      <c r="N111" s="2390"/>
      <c r="O111" s="2391"/>
      <c r="P111" s="2391"/>
      <c r="Q111" s="2391"/>
    </row>
    <row r="112" spans="7:22" x14ac:dyDescent="0.2">
      <c r="G112" s="2360"/>
      <c r="N112" s="2390"/>
      <c r="O112" s="2391"/>
      <c r="P112" s="2391"/>
      <c r="Q112" s="2391"/>
    </row>
    <row r="113" spans="7:19" x14ac:dyDescent="0.2">
      <c r="G113" s="2360"/>
      <c r="N113" s="2390"/>
      <c r="O113" s="2391"/>
      <c r="P113" s="2391"/>
      <c r="Q113" s="2391"/>
    </row>
    <row r="114" spans="7:19" x14ac:dyDescent="0.2">
      <c r="G114" s="2360"/>
      <c r="N114" s="2390"/>
      <c r="O114" s="2391"/>
      <c r="P114" s="2391"/>
      <c r="Q114" s="2391"/>
    </row>
    <row r="115" spans="7:19" x14ac:dyDescent="0.2">
      <c r="G115" s="2360"/>
      <c r="N115" s="2390"/>
      <c r="O115" s="2391"/>
      <c r="P115" s="2391"/>
      <c r="Q115" s="2391"/>
      <c r="S115" s="2360"/>
    </row>
    <row r="116" spans="7:19" x14ac:dyDescent="0.2">
      <c r="G116" s="2360"/>
      <c r="N116" s="2390"/>
      <c r="O116" s="2391"/>
      <c r="P116" s="2391"/>
      <c r="Q116" s="2391"/>
      <c r="S116" s="2360"/>
    </row>
    <row r="117" spans="7:19" x14ac:dyDescent="0.2">
      <c r="G117" s="2360"/>
      <c r="N117" s="2390"/>
      <c r="O117" s="2391"/>
      <c r="P117" s="2391"/>
      <c r="Q117" s="2391"/>
      <c r="S117" s="2360"/>
    </row>
    <row r="118" spans="7:19" x14ac:dyDescent="0.2">
      <c r="G118" s="2360"/>
      <c r="N118" s="2390"/>
      <c r="O118" s="2391"/>
      <c r="P118" s="2391"/>
      <c r="Q118" s="2391"/>
      <c r="S118" s="2360"/>
    </row>
    <row r="119" spans="7:19" x14ac:dyDescent="0.2">
      <c r="G119" s="2360"/>
      <c r="N119" s="2390"/>
      <c r="O119" s="2391"/>
      <c r="P119" s="2391"/>
      <c r="Q119" s="2391"/>
      <c r="S119" s="2360"/>
    </row>
    <row r="120" spans="7:19" x14ac:dyDescent="0.2">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516" activePane="bottomLeft" state="frozen"/>
      <selection activeCell="C50" sqref="C50"/>
      <selection pane="bottomLeft" activeCell="U518" sqref="U518"/>
    </sheetView>
  </sheetViews>
  <sheetFormatPr baseColWidth="10" defaultColWidth="9" defaultRowHeight="13" x14ac:dyDescent="0.2"/>
  <cols>
    <col min="1" max="1" width="11.5" style="135"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3"/>
    <col min="46" max="16384" width="9" style="135"/>
  </cols>
  <sheetData>
    <row r="1" spans="1:45" ht="14.25" customHeight="1" thickBot="1" x14ac:dyDescent="0.25">
      <c r="A1" s="151"/>
      <c r="B1" s="1094" t="s">
        <v>2583</v>
      </c>
      <c r="C1" s="3783" t="s">
        <v>2584</v>
      </c>
      <c r="D1" s="3784"/>
      <c r="E1" s="3784"/>
      <c r="F1" s="3784"/>
      <c r="G1" s="3784"/>
      <c r="H1" s="3784"/>
      <c r="I1" s="3784"/>
      <c r="J1" s="3784"/>
      <c r="K1" s="3784"/>
      <c r="L1" s="3784"/>
      <c r="M1" s="3784"/>
      <c r="N1" s="3784"/>
      <c r="O1" s="3784"/>
      <c r="P1" s="3784"/>
      <c r="Q1" s="3784"/>
      <c r="R1" s="3784"/>
      <c r="S1" s="3785"/>
      <c r="T1" s="1094" t="s">
        <v>2585</v>
      </c>
    </row>
    <row r="2" spans="1:45" s="662" customFormat="1" ht="14" x14ac:dyDescent="0.2">
      <c r="A2" s="1095"/>
      <c r="B2" s="658" t="s">
        <v>2586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x14ac:dyDescent="0.2">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4" thickBot="1" x14ac:dyDescent="0.25">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14" x14ac:dyDescent="0.2">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4" thickBot="1" x14ac:dyDescent="0.25">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t="14" x14ac:dyDescent="0.2">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4" thickBot="1" x14ac:dyDescent="0.25">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ht="14" x14ac:dyDescent="0.2">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4" thickBot="1" x14ac:dyDescent="0.25">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ht="14" x14ac:dyDescent="0.2">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4" thickBot="1" x14ac:dyDescent="0.25">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ht="14" x14ac:dyDescent="0.2">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4" thickBot="1" x14ac:dyDescent="0.25">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ht="14" x14ac:dyDescent="0.2">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4" thickBot="1" x14ac:dyDescent="0.25">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ht="14" x14ac:dyDescent="0.2">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4" thickBot="1" x14ac:dyDescent="0.25">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ht="14" x14ac:dyDescent="0.2">
      <c r="A19" s="134"/>
      <c r="B19" s="164"/>
      <c r="C19" s="164"/>
      <c r="D19" s="2316" t="s">
        <v>2595</v>
      </c>
      <c r="E19" s="1474"/>
      <c r="F19" s="1474"/>
      <c r="G19" s="1474"/>
      <c r="H19" s="1170"/>
      <c r="I19" s="164"/>
      <c r="J19" s="164"/>
      <c r="K19" s="164"/>
      <c r="L19" s="164"/>
      <c r="M19" s="164"/>
      <c r="N19" s="164"/>
      <c r="O19" s="164"/>
      <c r="P19" s="164"/>
      <c r="Q19" s="164"/>
      <c r="R19" s="726"/>
      <c r="S19" s="134"/>
    </row>
    <row r="20" spans="1:45" ht="17" thickBot="1" x14ac:dyDescent="0.25">
      <c r="A20" s="670" t="s">
        <v>2596</v>
      </c>
      <c r="B20" s="300" t="e">
        <f ca="1">IF(D20="——",S22,S22-F20)</f>
        <v>#REF!</v>
      </c>
      <c r="C20" s="164"/>
      <c r="D20" s="2317"/>
      <c r="E20" s="1475"/>
      <c r="F20" s="1094" t="e">
        <f ca="1">SUMIF(INDIRECT("'"&amp;H20&amp;"'"&amp;"!A:A"),"承租人权益价值",INDIRECT("'"&amp;H20&amp;"'"&amp;"!c:c"))</f>
        <v>#REF!</v>
      </c>
      <c r="G20" s="1094" t="s">
        <v>2597</v>
      </c>
      <c r="H20" s="2318"/>
      <c r="I20" s="164"/>
      <c r="J20" s="164"/>
      <c r="K20" s="164"/>
      <c r="L20" s="164"/>
      <c r="M20" s="164"/>
      <c r="N20" s="164"/>
      <c r="O20" s="164"/>
      <c r="P20" s="164"/>
      <c r="Q20" s="164"/>
      <c r="R20" s="726"/>
      <c r="S20" s="134"/>
    </row>
    <row r="21" spans="1:45" ht="16" x14ac:dyDescent="0.2">
      <c r="A21" s="670" t="s">
        <v>2598</v>
      </c>
      <c r="B21" s="300" t="e">
        <f ca="1">ROUND(B20*10000/B22,0)</f>
        <v>#REF!</v>
      </c>
      <c r="C21" s="164"/>
      <c r="D21" s="164"/>
      <c r="E21" s="164"/>
      <c r="F21" s="164"/>
      <c r="G21" s="164"/>
      <c r="H21" s="164"/>
      <c r="I21" s="164"/>
      <c r="J21" s="164"/>
      <c r="K21" s="164"/>
      <c r="L21" s="164"/>
      <c r="M21" s="164"/>
      <c r="N21" s="164"/>
      <c r="O21" s="164"/>
      <c r="P21" s="164"/>
      <c r="Q21" s="164"/>
      <c r="R21" s="726"/>
      <c r="S21" s="134"/>
    </row>
    <row r="22" spans="1:45" ht="14" x14ac:dyDescent="0.2">
      <c r="A22" s="322" t="s">
        <v>2599</v>
      </c>
      <c r="B22" s="24">
        <f>SUM(B24:B10000)</f>
        <v>100</v>
      </c>
      <c r="C22" s="3780" t="s">
        <v>33</v>
      </c>
      <c r="D22" s="3781"/>
      <c r="E22" s="3781"/>
      <c r="F22" s="3781"/>
      <c r="G22" s="3781"/>
      <c r="H22" s="3781"/>
      <c r="I22" s="3781"/>
      <c r="J22" s="3781"/>
      <c r="K22" s="3781"/>
      <c r="L22" s="3781"/>
      <c r="M22" s="3781"/>
      <c r="N22" s="3781"/>
      <c r="O22" s="3781"/>
      <c r="P22" s="3781"/>
      <c r="Q22" s="3782"/>
      <c r="R22" s="671">
        <f>ROUND(S22*10000/B22,0)</f>
        <v>10000</v>
      </c>
      <c r="S22" s="24">
        <f>SUM(S24:S10000)</f>
        <v>100</v>
      </c>
    </row>
    <row r="23" spans="1:45" s="12" customFormat="1" ht="28" x14ac:dyDescent="0.2">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ht="14" x14ac:dyDescent="0.2">
      <c r="A24" s="673" t="s">
        <v>2605</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x14ac:dyDescent="0.2">
      <c r="A25" s="155"/>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2">
        <f t="shared" si="11"/>
        <v>0</v>
      </c>
    </row>
    <row r="26" spans="1:45" x14ac:dyDescent="0.2">
      <c r="A26" s="155"/>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2">
        <f t="shared" si="11"/>
        <v>0</v>
      </c>
    </row>
    <row r="27" spans="1:45" x14ac:dyDescent="0.2">
      <c r="A27" s="155"/>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2">
        <f t="shared" si="11"/>
        <v>0</v>
      </c>
    </row>
    <row r="28" spans="1:45" x14ac:dyDescent="0.2">
      <c r="A28" s="155"/>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2">
        <f t="shared" si="11"/>
        <v>0</v>
      </c>
    </row>
    <row r="29" spans="1:45" x14ac:dyDescent="0.2">
      <c r="A29" s="155"/>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2">
        <f t="shared" si="11"/>
        <v>0</v>
      </c>
    </row>
    <row r="30" spans="1:45" x14ac:dyDescent="0.2">
      <c r="A30" s="155"/>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2">
        <f t="shared" si="11"/>
        <v>0</v>
      </c>
    </row>
    <row r="31" spans="1:45" x14ac:dyDescent="0.2">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2">
        <f t="shared" si="11"/>
        <v>0</v>
      </c>
    </row>
    <row r="32" spans="1:45" x14ac:dyDescent="0.2">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2">
        <f t="shared" si="11"/>
        <v>0</v>
      </c>
    </row>
    <row r="33" spans="1:19" x14ac:dyDescent="0.2">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2">
        <f t="shared" si="11"/>
        <v>0</v>
      </c>
    </row>
    <row r="34" spans="1:19" x14ac:dyDescent="0.2">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2">
        <f t="shared" si="11"/>
        <v>0</v>
      </c>
    </row>
    <row r="35" spans="1:19" x14ac:dyDescent="0.2">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2">
        <f t="shared" si="11"/>
        <v>0</v>
      </c>
    </row>
    <row r="36" spans="1:19" x14ac:dyDescent="0.2">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2">
        <f t="shared" si="11"/>
        <v>0</v>
      </c>
    </row>
    <row r="37" spans="1:19" x14ac:dyDescent="0.2">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2">
        <f t="shared" si="11"/>
        <v>0</v>
      </c>
    </row>
    <row r="38" spans="1:19" x14ac:dyDescent="0.2">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2">
        <f t="shared" si="11"/>
        <v>0</v>
      </c>
    </row>
    <row r="39" spans="1:19" x14ac:dyDescent="0.2">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2">
        <f t="shared" si="11"/>
        <v>0</v>
      </c>
    </row>
    <row r="40" spans="1:19" x14ac:dyDescent="0.2">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2">
        <f t="shared" si="11"/>
        <v>0</v>
      </c>
    </row>
    <row r="41" spans="1:19" x14ac:dyDescent="0.2">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2">
        <f t="shared" si="11"/>
        <v>0</v>
      </c>
    </row>
    <row r="42" spans="1:19" x14ac:dyDescent="0.2">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2">
        <f t="shared" si="11"/>
        <v>0</v>
      </c>
    </row>
    <row r="43" spans="1:19" x14ac:dyDescent="0.2">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2">
        <f t="shared" si="11"/>
        <v>0</v>
      </c>
    </row>
    <row r="44" spans="1:19" x14ac:dyDescent="0.2">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2">
        <f t="shared" si="11"/>
        <v>0</v>
      </c>
    </row>
    <row r="45" spans="1:19" x14ac:dyDescent="0.2">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2">
        <f t="shared" si="11"/>
        <v>0</v>
      </c>
    </row>
    <row r="46" spans="1:19" x14ac:dyDescent="0.2">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2">
        <f t="shared" si="11"/>
        <v>0</v>
      </c>
    </row>
    <row r="47" spans="1:19" x14ac:dyDescent="0.2">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2">
        <f t="shared" si="11"/>
        <v>0</v>
      </c>
    </row>
    <row r="48" spans="1:19" x14ac:dyDescent="0.2">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2">
        <f t="shared" si="11"/>
        <v>0</v>
      </c>
    </row>
    <row r="49" spans="1:19" x14ac:dyDescent="0.2">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2">
        <f t="shared" si="11"/>
        <v>0</v>
      </c>
    </row>
    <row r="50" spans="1:19" x14ac:dyDescent="0.2">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2">
        <f t="shared" si="11"/>
        <v>0</v>
      </c>
    </row>
    <row r="51" spans="1:19" x14ac:dyDescent="0.2">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2">
        <f t="shared" si="11"/>
        <v>0</v>
      </c>
    </row>
    <row r="52" spans="1:19" x14ac:dyDescent="0.2">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2">
        <f t="shared" si="11"/>
        <v>0</v>
      </c>
    </row>
    <row r="53" spans="1:19" x14ac:dyDescent="0.2">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2">
        <f t="shared" si="11"/>
        <v>0</v>
      </c>
    </row>
    <row r="54" spans="1:19" x14ac:dyDescent="0.2">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2">
        <f t="shared" si="11"/>
        <v>0</v>
      </c>
    </row>
    <row r="55" spans="1:19" x14ac:dyDescent="0.2">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x14ac:dyDescent="0.2">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2">
        <f t="shared" si="21"/>
        <v>0</v>
      </c>
    </row>
    <row r="57" spans="1:19" x14ac:dyDescent="0.2">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2">
        <f t="shared" si="21"/>
        <v>0</v>
      </c>
    </row>
    <row r="58" spans="1:19" x14ac:dyDescent="0.2">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2">
        <f t="shared" si="21"/>
        <v>0</v>
      </c>
    </row>
    <row r="59" spans="1:19" x14ac:dyDescent="0.2">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2">
        <f t="shared" si="21"/>
        <v>0</v>
      </c>
    </row>
    <row r="60" spans="1:19" x14ac:dyDescent="0.2">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2">
        <f t="shared" si="21"/>
        <v>0</v>
      </c>
    </row>
    <row r="61" spans="1:19" x14ac:dyDescent="0.2">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2">
        <f t="shared" si="21"/>
        <v>0</v>
      </c>
    </row>
    <row r="62" spans="1:19" x14ac:dyDescent="0.2">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2">
        <f t="shared" si="21"/>
        <v>0</v>
      </c>
    </row>
    <row r="63" spans="1:19" x14ac:dyDescent="0.2">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2">
        <f t="shared" si="21"/>
        <v>0</v>
      </c>
    </row>
    <row r="64" spans="1:19" x14ac:dyDescent="0.2">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2">
        <f t="shared" si="21"/>
        <v>0</v>
      </c>
    </row>
    <row r="65" spans="1:19" x14ac:dyDescent="0.2">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2">
        <f t="shared" si="21"/>
        <v>0</v>
      </c>
    </row>
    <row r="66" spans="1:19" x14ac:dyDescent="0.2">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2">
        <f t="shared" si="21"/>
        <v>0</v>
      </c>
    </row>
    <row r="67" spans="1:19" x14ac:dyDescent="0.2">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2">
        <f t="shared" si="21"/>
        <v>0</v>
      </c>
    </row>
    <row r="68" spans="1:19" x14ac:dyDescent="0.2">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2">
        <f t="shared" si="21"/>
        <v>0</v>
      </c>
    </row>
    <row r="69" spans="1:19" x14ac:dyDescent="0.2">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2">
        <f t="shared" si="21"/>
        <v>0</v>
      </c>
    </row>
    <row r="70" spans="1:19" x14ac:dyDescent="0.2">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2">
        <f t="shared" si="21"/>
        <v>0</v>
      </c>
    </row>
    <row r="71" spans="1:19" x14ac:dyDescent="0.2">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2">
        <f t="shared" si="21"/>
        <v>0</v>
      </c>
    </row>
    <row r="72" spans="1:19" x14ac:dyDescent="0.2">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2">
        <f t="shared" si="21"/>
        <v>0</v>
      </c>
    </row>
    <row r="73" spans="1:19" x14ac:dyDescent="0.2">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2">
        <f t="shared" si="21"/>
        <v>0</v>
      </c>
    </row>
    <row r="74" spans="1:19" x14ac:dyDescent="0.2">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2">
        <f t="shared" si="21"/>
        <v>0</v>
      </c>
    </row>
    <row r="75" spans="1:19" x14ac:dyDescent="0.2">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2">
        <f t="shared" si="21"/>
        <v>0</v>
      </c>
    </row>
    <row r="76" spans="1:19" x14ac:dyDescent="0.2">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2">
        <f t="shared" si="21"/>
        <v>0</v>
      </c>
    </row>
    <row r="77" spans="1:19" x14ac:dyDescent="0.2">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2">
        <f t="shared" si="21"/>
        <v>0</v>
      </c>
    </row>
    <row r="78" spans="1:19" x14ac:dyDescent="0.2">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x14ac:dyDescent="0.2">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2">
        <f t="shared" si="22"/>
        <v>0</v>
      </c>
    </row>
    <row r="80" spans="1:19" x14ac:dyDescent="0.2">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2">
        <f t="shared" si="22"/>
        <v>0</v>
      </c>
    </row>
    <row r="81" spans="1:19" x14ac:dyDescent="0.2">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2">
        <f t="shared" si="22"/>
        <v>0</v>
      </c>
    </row>
    <row r="82" spans="1:19" x14ac:dyDescent="0.2">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2">
        <f t="shared" si="22"/>
        <v>0</v>
      </c>
    </row>
    <row r="83" spans="1:19" x14ac:dyDescent="0.2">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2">
        <f t="shared" si="22"/>
        <v>0</v>
      </c>
    </row>
    <row r="84" spans="1:19" x14ac:dyDescent="0.2">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2">
        <f t="shared" si="22"/>
        <v>0</v>
      </c>
    </row>
    <row r="85" spans="1:19" x14ac:dyDescent="0.2">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2">
        <f t="shared" si="22"/>
        <v>0</v>
      </c>
    </row>
    <row r="86" spans="1:19" x14ac:dyDescent="0.2">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2">
        <f t="shared" si="22"/>
        <v>0</v>
      </c>
    </row>
    <row r="87" spans="1:19" x14ac:dyDescent="0.2">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2">
        <f t="shared" si="22"/>
        <v>0</v>
      </c>
    </row>
    <row r="88" spans="1:19" x14ac:dyDescent="0.2">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2">
        <f t="shared" si="22"/>
        <v>0</v>
      </c>
    </row>
    <row r="89" spans="1:19" x14ac:dyDescent="0.2">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2">
        <f t="shared" si="22"/>
        <v>0</v>
      </c>
    </row>
    <row r="90" spans="1:19" x14ac:dyDescent="0.2">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x14ac:dyDescent="0.2">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2">
        <f t="shared" si="22"/>
        <v>0</v>
      </c>
    </row>
    <row r="92" spans="1:19" x14ac:dyDescent="0.2">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2">
        <f t="shared" si="22"/>
        <v>0</v>
      </c>
    </row>
    <row r="93" spans="1:19" x14ac:dyDescent="0.2">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2">
        <f t="shared" si="22"/>
        <v>0</v>
      </c>
    </row>
    <row r="94" spans="1:19" x14ac:dyDescent="0.2">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2">
        <f t="shared" si="22"/>
        <v>0</v>
      </c>
    </row>
    <row r="95" spans="1:19" x14ac:dyDescent="0.2">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2">
        <f t="shared" si="22"/>
        <v>0</v>
      </c>
    </row>
    <row r="96" spans="1:19" x14ac:dyDescent="0.2">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2">
        <f t="shared" si="22"/>
        <v>0</v>
      </c>
    </row>
    <row r="97" spans="1:19" x14ac:dyDescent="0.2">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2">
        <f t="shared" si="22"/>
        <v>0</v>
      </c>
    </row>
    <row r="98" spans="1:19" x14ac:dyDescent="0.2">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2">
        <f t="shared" si="22"/>
        <v>0</v>
      </c>
    </row>
    <row r="99" spans="1:19" x14ac:dyDescent="0.2">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2">
        <f t="shared" si="22"/>
        <v>0</v>
      </c>
    </row>
    <row r="100" spans="1:19" x14ac:dyDescent="0.2">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2">
        <f t="shared" si="22"/>
        <v>0</v>
      </c>
    </row>
    <row r="101" spans="1:19" x14ac:dyDescent="0.2">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2">
        <f t="shared" si="22"/>
        <v>0</v>
      </c>
    </row>
    <row r="102" spans="1:19" x14ac:dyDescent="0.2">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2">
        <f t="shared" si="22"/>
        <v>0</v>
      </c>
    </row>
    <row r="103" spans="1:19" x14ac:dyDescent="0.2">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2">
        <f t="shared" si="22"/>
        <v>0</v>
      </c>
    </row>
    <row r="104" spans="1:19" x14ac:dyDescent="0.2">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2">
        <f t="shared" si="22"/>
        <v>0</v>
      </c>
    </row>
    <row r="105" spans="1:19" x14ac:dyDescent="0.2">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2">
        <f t="shared" si="22"/>
        <v>0</v>
      </c>
    </row>
    <row r="106" spans="1:19" x14ac:dyDescent="0.2">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2">
        <f t="shared" si="22"/>
        <v>0</v>
      </c>
    </row>
    <row r="107" spans="1:19" x14ac:dyDescent="0.2">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2">
        <f t="shared" si="22"/>
        <v>0</v>
      </c>
    </row>
    <row r="108" spans="1:19" x14ac:dyDescent="0.2">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2">
        <f t="shared" si="22"/>
        <v>0</v>
      </c>
    </row>
    <row r="109" spans="1:19" x14ac:dyDescent="0.2">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2">
        <f t="shared" si="22"/>
        <v>0</v>
      </c>
    </row>
    <row r="110" spans="1:19" x14ac:dyDescent="0.2">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2">
        <f t="shared" si="22"/>
        <v>0</v>
      </c>
    </row>
    <row r="111" spans="1:19" x14ac:dyDescent="0.2">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2">
        <f t="shared" si="22"/>
        <v>0</v>
      </c>
    </row>
    <row r="112" spans="1:19" x14ac:dyDescent="0.2">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2">
        <f t="shared" si="22"/>
        <v>0</v>
      </c>
    </row>
    <row r="113" spans="1:19" x14ac:dyDescent="0.2">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2">
        <f t="shared" si="22"/>
        <v>0</v>
      </c>
    </row>
    <row r="114" spans="1:19" x14ac:dyDescent="0.2">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2">
        <f t="shared" si="22"/>
        <v>0</v>
      </c>
    </row>
    <row r="115" spans="1:19" x14ac:dyDescent="0.2">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2">
        <f t="shared" si="22"/>
        <v>0</v>
      </c>
    </row>
    <row r="116" spans="1:19" x14ac:dyDescent="0.2">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2">
        <f t="shared" si="22"/>
        <v>0</v>
      </c>
    </row>
    <row r="117" spans="1:19" x14ac:dyDescent="0.2">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2">
        <f t="shared" si="22"/>
        <v>0</v>
      </c>
    </row>
    <row r="118" spans="1:19" x14ac:dyDescent="0.2">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2">
        <f t="shared" si="22"/>
        <v>0</v>
      </c>
    </row>
    <row r="119" spans="1:19" x14ac:dyDescent="0.2">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2">
        <f t="shared" si="22"/>
        <v>0</v>
      </c>
    </row>
    <row r="120" spans="1:19" x14ac:dyDescent="0.2">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2">
        <f t="shared" si="22"/>
        <v>0</v>
      </c>
    </row>
    <row r="121" spans="1:19" x14ac:dyDescent="0.2">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2">
        <f t="shared" si="22"/>
        <v>0</v>
      </c>
    </row>
    <row r="122" spans="1:19" x14ac:dyDescent="0.2">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2">
        <f t="shared" si="22"/>
        <v>0</v>
      </c>
    </row>
    <row r="123" spans="1:19" x14ac:dyDescent="0.2">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x14ac:dyDescent="0.2">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2">
        <f t="shared" si="32"/>
        <v>0</v>
      </c>
    </row>
    <row r="125" spans="1:19" x14ac:dyDescent="0.2">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2">
        <f t="shared" si="32"/>
        <v>0</v>
      </c>
    </row>
    <row r="126" spans="1:19" x14ac:dyDescent="0.2">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2">
        <f t="shared" si="32"/>
        <v>0</v>
      </c>
    </row>
    <row r="127" spans="1:19" x14ac:dyDescent="0.2">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2">
        <f t="shared" si="32"/>
        <v>0</v>
      </c>
    </row>
    <row r="128" spans="1:19" x14ac:dyDescent="0.2">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2">
        <f t="shared" si="32"/>
        <v>0</v>
      </c>
    </row>
    <row r="129" spans="1:19" x14ac:dyDescent="0.2">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2">
        <f t="shared" si="32"/>
        <v>0</v>
      </c>
    </row>
    <row r="130" spans="1:19" x14ac:dyDescent="0.2">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2">
        <f t="shared" si="32"/>
        <v>0</v>
      </c>
    </row>
    <row r="131" spans="1:19" x14ac:dyDescent="0.2">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2">
        <f t="shared" si="32"/>
        <v>0</v>
      </c>
    </row>
    <row r="132" spans="1:19" x14ac:dyDescent="0.2">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2">
        <f t="shared" si="32"/>
        <v>0</v>
      </c>
    </row>
    <row r="133" spans="1:19" x14ac:dyDescent="0.2">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2">
        <f t="shared" si="32"/>
        <v>0</v>
      </c>
    </row>
    <row r="134" spans="1:19" x14ac:dyDescent="0.2">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2">
        <f t="shared" si="32"/>
        <v>0</v>
      </c>
    </row>
    <row r="135" spans="1:19" x14ac:dyDescent="0.2">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2">
        <f t="shared" si="32"/>
        <v>0</v>
      </c>
    </row>
    <row r="136" spans="1:19" x14ac:dyDescent="0.2">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2">
        <f t="shared" si="32"/>
        <v>0</v>
      </c>
    </row>
    <row r="137" spans="1:19" x14ac:dyDescent="0.2">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2">
        <f t="shared" si="32"/>
        <v>0</v>
      </c>
    </row>
    <row r="138" spans="1:19" x14ac:dyDescent="0.2">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2">
        <f t="shared" si="32"/>
        <v>0</v>
      </c>
    </row>
    <row r="139" spans="1:19" x14ac:dyDescent="0.2">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2">
        <f t="shared" si="32"/>
        <v>0</v>
      </c>
    </row>
    <row r="140" spans="1:19" x14ac:dyDescent="0.2">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2">
        <f t="shared" si="32"/>
        <v>0</v>
      </c>
    </row>
    <row r="141" spans="1:19" x14ac:dyDescent="0.2">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2">
        <f t="shared" si="32"/>
        <v>0</v>
      </c>
    </row>
    <row r="142" spans="1:19" x14ac:dyDescent="0.2">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2">
        <f t="shared" si="32"/>
        <v>0</v>
      </c>
    </row>
    <row r="143" spans="1:19" x14ac:dyDescent="0.2">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2">
        <f t="shared" si="32"/>
        <v>0</v>
      </c>
    </row>
    <row r="144" spans="1:19" x14ac:dyDescent="0.2">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2">
        <f t="shared" si="32"/>
        <v>0</v>
      </c>
    </row>
    <row r="145" spans="1:19" x14ac:dyDescent="0.2">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2">
        <f t="shared" si="32"/>
        <v>0</v>
      </c>
    </row>
    <row r="146" spans="1:19" x14ac:dyDescent="0.2">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2">
        <f t="shared" si="32"/>
        <v>0</v>
      </c>
    </row>
    <row r="147" spans="1:19" x14ac:dyDescent="0.2">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2">
        <f t="shared" si="32"/>
        <v>0</v>
      </c>
    </row>
    <row r="148" spans="1:19" x14ac:dyDescent="0.2">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2">
        <f t="shared" si="32"/>
        <v>0</v>
      </c>
    </row>
    <row r="149" spans="1:19" x14ac:dyDescent="0.2">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2">
        <f t="shared" si="32"/>
        <v>0</v>
      </c>
    </row>
    <row r="150" spans="1:19" x14ac:dyDescent="0.2">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2">
        <f t="shared" si="32"/>
        <v>0</v>
      </c>
    </row>
    <row r="151" spans="1:19" x14ac:dyDescent="0.2">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2">
        <f t="shared" si="32"/>
        <v>0</v>
      </c>
    </row>
    <row r="152" spans="1:19" x14ac:dyDescent="0.2">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2">
        <f t="shared" si="32"/>
        <v>0</v>
      </c>
    </row>
    <row r="153" spans="1:19" x14ac:dyDescent="0.2">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2">
        <f t="shared" si="32"/>
        <v>0</v>
      </c>
    </row>
    <row r="154" spans="1:19" x14ac:dyDescent="0.2">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x14ac:dyDescent="0.2">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2">
        <f t="shared" si="32"/>
        <v>0</v>
      </c>
    </row>
    <row r="156" spans="1:19" x14ac:dyDescent="0.2">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2">
        <f t="shared" si="32"/>
        <v>0</v>
      </c>
    </row>
    <row r="157" spans="1:19" x14ac:dyDescent="0.2">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2">
        <f t="shared" si="32"/>
        <v>0</v>
      </c>
    </row>
    <row r="158" spans="1:19" x14ac:dyDescent="0.2">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2">
        <f t="shared" si="32"/>
        <v>0</v>
      </c>
    </row>
    <row r="159" spans="1:19" x14ac:dyDescent="0.2">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2">
        <f t="shared" si="32"/>
        <v>0</v>
      </c>
    </row>
    <row r="160" spans="1:19" x14ac:dyDescent="0.2">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2">
        <f t="shared" si="32"/>
        <v>0</v>
      </c>
    </row>
    <row r="161" spans="1:19" x14ac:dyDescent="0.2">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2">
        <f t="shared" si="32"/>
        <v>0</v>
      </c>
    </row>
    <row r="162" spans="1:19" x14ac:dyDescent="0.2">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2">
        <f t="shared" si="32"/>
        <v>0</v>
      </c>
    </row>
    <row r="163" spans="1:19" x14ac:dyDescent="0.2">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2">
        <f t="shared" si="32"/>
        <v>0</v>
      </c>
    </row>
    <row r="164" spans="1:19" x14ac:dyDescent="0.2">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2">
        <f t="shared" si="32"/>
        <v>0</v>
      </c>
    </row>
    <row r="165" spans="1:19" x14ac:dyDescent="0.2">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2">
        <f t="shared" si="32"/>
        <v>0</v>
      </c>
    </row>
    <row r="166" spans="1:19" x14ac:dyDescent="0.2">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2">
        <f t="shared" si="32"/>
        <v>0</v>
      </c>
    </row>
    <row r="167" spans="1:19" x14ac:dyDescent="0.2">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2">
        <f t="shared" si="32"/>
        <v>0</v>
      </c>
    </row>
    <row r="168" spans="1:19" x14ac:dyDescent="0.2">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2">
        <f t="shared" si="32"/>
        <v>0</v>
      </c>
    </row>
    <row r="169" spans="1:19" x14ac:dyDescent="0.2">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2">
        <f t="shared" si="32"/>
        <v>0</v>
      </c>
    </row>
    <row r="170" spans="1:19" x14ac:dyDescent="0.2">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2">
        <f t="shared" si="32"/>
        <v>0</v>
      </c>
    </row>
    <row r="171" spans="1:19" x14ac:dyDescent="0.2">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2">
        <f t="shared" si="32"/>
        <v>0</v>
      </c>
    </row>
    <row r="172" spans="1:19" x14ac:dyDescent="0.2">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2">
        <f t="shared" si="32"/>
        <v>0</v>
      </c>
    </row>
    <row r="173" spans="1:19" x14ac:dyDescent="0.2">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2">
        <f t="shared" si="32"/>
        <v>0</v>
      </c>
    </row>
    <row r="174" spans="1:19" x14ac:dyDescent="0.2">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2">
        <f t="shared" si="32"/>
        <v>0</v>
      </c>
    </row>
    <row r="175" spans="1:19" x14ac:dyDescent="0.2">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2">
        <f t="shared" si="32"/>
        <v>0</v>
      </c>
    </row>
    <row r="176" spans="1:19" x14ac:dyDescent="0.2">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2">
        <f t="shared" si="32"/>
        <v>0</v>
      </c>
    </row>
    <row r="177" spans="1:19" x14ac:dyDescent="0.2">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2">
        <f t="shared" si="32"/>
        <v>0</v>
      </c>
    </row>
    <row r="178" spans="1:19" x14ac:dyDescent="0.2">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2">
        <f t="shared" si="32"/>
        <v>0</v>
      </c>
    </row>
    <row r="179" spans="1:19" x14ac:dyDescent="0.2">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2">
        <f t="shared" si="32"/>
        <v>0</v>
      </c>
    </row>
    <row r="180" spans="1:19" x14ac:dyDescent="0.2">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2">
        <f t="shared" si="32"/>
        <v>0</v>
      </c>
    </row>
    <row r="181" spans="1:19" x14ac:dyDescent="0.2">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2">
        <f t="shared" si="32"/>
        <v>0</v>
      </c>
    </row>
    <row r="182" spans="1:19" x14ac:dyDescent="0.2">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2">
        <f t="shared" si="32"/>
        <v>0</v>
      </c>
    </row>
    <row r="183" spans="1:19" x14ac:dyDescent="0.2">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2">
        <f t="shared" si="32"/>
        <v>0</v>
      </c>
    </row>
    <row r="184" spans="1:19" x14ac:dyDescent="0.2">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2">
        <f t="shared" si="32"/>
        <v>0</v>
      </c>
    </row>
    <row r="185" spans="1:19" x14ac:dyDescent="0.2">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2">
        <f t="shared" si="32"/>
        <v>0</v>
      </c>
    </row>
    <row r="186" spans="1:19" x14ac:dyDescent="0.2">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2">
        <f t="shared" si="32"/>
        <v>0</v>
      </c>
    </row>
    <row r="187" spans="1:19" x14ac:dyDescent="0.2">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x14ac:dyDescent="0.2">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2">
        <f t="shared" si="42"/>
        <v>0</v>
      </c>
    </row>
    <row r="189" spans="1:19" x14ac:dyDescent="0.2">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2">
        <f t="shared" si="42"/>
        <v>0</v>
      </c>
    </row>
    <row r="190" spans="1:19" x14ac:dyDescent="0.2">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2">
        <f t="shared" si="42"/>
        <v>0</v>
      </c>
    </row>
    <row r="191" spans="1:19" x14ac:dyDescent="0.2">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2">
        <f t="shared" si="42"/>
        <v>0</v>
      </c>
    </row>
    <row r="192" spans="1:19" x14ac:dyDescent="0.2">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2">
        <f t="shared" si="42"/>
        <v>0</v>
      </c>
    </row>
    <row r="193" spans="1:19" x14ac:dyDescent="0.2">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2">
        <f t="shared" si="42"/>
        <v>0</v>
      </c>
    </row>
    <row r="194" spans="1:19" x14ac:dyDescent="0.2">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2">
        <f t="shared" si="42"/>
        <v>0</v>
      </c>
    </row>
    <row r="195" spans="1:19" x14ac:dyDescent="0.2">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2">
        <f t="shared" si="42"/>
        <v>0</v>
      </c>
    </row>
    <row r="196" spans="1:19" x14ac:dyDescent="0.2">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2">
        <f t="shared" si="42"/>
        <v>0</v>
      </c>
    </row>
    <row r="197" spans="1:19" x14ac:dyDescent="0.2">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2">
        <f t="shared" si="42"/>
        <v>0</v>
      </c>
    </row>
    <row r="198" spans="1:19" x14ac:dyDescent="0.2">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2">
        <f t="shared" si="42"/>
        <v>0</v>
      </c>
    </row>
    <row r="199" spans="1:19" x14ac:dyDescent="0.2">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2">
        <f t="shared" si="42"/>
        <v>0</v>
      </c>
    </row>
    <row r="200" spans="1:19" x14ac:dyDescent="0.2">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2">
        <f t="shared" si="42"/>
        <v>0</v>
      </c>
    </row>
    <row r="201" spans="1:19" x14ac:dyDescent="0.2">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2">
        <f t="shared" si="42"/>
        <v>0</v>
      </c>
    </row>
    <row r="202" spans="1:19" x14ac:dyDescent="0.2">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2">
        <f t="shared" si="42"/>
        <v>0</v>
      </c>
    </row>
    <row r="203" spans="1:19" x14ac:dyDescent="0.2">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2">
        <f t="shared" si="42"/>
        <v>0</v>
      </c>
    </row>
    <row r="204" spans="1:19" x14ac:dyDescent="0.2">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2">
        <f t="shared" si="42"/>
        <v>0</v>
      </c>
    </row>
    <row r="205" spans="1:19" x14ac:dyDescent="0.2">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2">
        <f t="shared" si="42"/>
        <v>0</v>
      </c>
    </row>
    <row r="206" spans="1:19" x14ac:dyDescent="0.2">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2">
        <f t="shared" si="42"/>
        <v>0</v>
      </c>
    </row>
    <row r="207" spans="1:19" x14ac:dyDescent="0.2">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2">
        <f t="shared" si="42"/>
        <v>0</v>
      </c>
    </row>
    <row r="208" spans="1:19" x14ac:dyDescent="0.2">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2">
        <f t="shared" si="42"/>
        <v>0</v>
      </c>
    </row>
    <row r="209" spans="1:19" x14ac:dyDescent="0.2">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2">
        <f t="shared" si="42"/>
        <v>0</v>
      </c>
    </row>
    <row r="210" spans="1:19" x14ac:dyDescent="0.2">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2">
        <f t="shared" si="42"/>
        <v>0</v>
      </c>
    </row>
    <row r="211" spans="1:19" x14ac:dyDescent="0.2">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2">
        <f t="shared" si="42"/>
        <v>0</v>
      </c>
    </row>
    <row r="212" spans="1:19" x14ac:dyDescent="0.2">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2">
        <f t="shared" si="42"/>
        <v>0</v>
      </c>
    </row>
    <row r="213" spans="1:19" x14ac:dyDescent="0.2">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2">
        <f t="shared" si="42"/>
        <v>0</v>
      </c>
    </row>
    <row r="214" spans="1:19" x14ac:dyDescent="0.2">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2">
        <f t="shared" si="42"/>
        <v>0</v>
      </c>
    </row>
    <row r="215" spans="1:19" x14ac:dyDescent="0.2">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2">
        <f t="shared" si="42"/>
        <v>0</v>
      </c>
    </row>
    <row r="216" spans="1:19" x14ac:dyDescent="0.2">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2">
        <f t="shared" si="42"/>
        <v>0</v>
      </c>
    </row>
    <row r="217" spans="1:19" x14ac:dyDescent="0.2">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2">
        <f t="shared" si="42"/>
        <v>0</v>
      </c>
    </row>
    <row r="218" spans="1:19" x14ac:dyDescent="0.2">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x14ac:dyDescent="0.2">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2">
        <f t="shared" si="42"/>
        <v>0</v>
      </c>
    </row>
    <row r="220" spans="1:19" x14ac:dyDescent="0.2">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2">
        <f t="shared" si="42"/>
        <v>0</v>
      </c>
    </row>
    <row r="221" spans="1:19" x14ac:dyDescent="0.2">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2">
        <f t="shared" si="42"/>
        <v>0</v>
      </c>
    </row>
    <row r="222" spans="1:19" x14ac:dyDescent="0.2">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2">
        <f t="shared" si="42"/>
        <v>0</v>
      </c>
    </row>
    <row r="223" spans="1:19" x14ac:dyDescent="0.2">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x14ac:dyDescent="0.2">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2">
        <f t="shared" si="52"/>
        <v>0</v>
      </c>
    </row>
    <row r="225" spans="1:19" x14ac:dyDescent="0.2">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2">
        <f t="shared" si="52"/>
        <v>0</v>
      </c>
    </row>
    <row r="226" spans="1:19" x14ac:dyDescent="0.2">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2">
        <f t="shared" si="52"/>
        <v>0</v>
      </c>
    </row>
    <row r="227" spans="1:19" x14ac:dyDescent="0.2">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2">
        <f t="shared" si="52"/>
        <v>0</v>
      </c>
    </row>
    <row r="228" spans="1:19" x14ac:dyDescent="0.2">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2">
        <f t="shared" si="52"/>
        <v>0</v>
      </c>
    </row>
    <row r="229" spans="1:19" x14ac:dyDescent="0.2">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2">
        <f t="shared" si="52"/>
        <v>0</v>
      </c>
    </row>
    <row r="230" spans="1:19" x14ac:dyDescent="0.2">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2">
        <f t="shared" si="52"/>
        <v>0</v>
      </c>
    </row>
    <row r="231" spans="1:19" x14ac:dyDescent="0.2">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2">
        <f t="shared" si="52"/>
        <v>0</v>
      </c>
    </row>
    <row r="232" spans="1:19" x14ac:dyDescent="0.2">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2">
        <f t="shared" si="52"/>
        <v>0</v>
      </c>
    </row>
    <row r="233" spans="1:19" x14ac:dyDescent="0.2">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2">
        <f t="shared" si="52"/>
        <v>0</v>
      </c>
    </row>
    <row r="234" spans="1:19" x14ac:dyDescent="0.2">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2">
        <f t="shared" si="52"/>
        <v>0</v>
      </c>
    </row>
    <row r="235" spans="1:19" x14ac:dyDescent="0.2">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2">
        <f t="shared" si="52"/>
        <v>0</v>
      </c>
    </row>
    <row r="236" spans="1:19" x14ac:dyDescent="0.2">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2">
        <f t="shared" si="52"/>
        <v>0</v>
      </c>
    </row>
    <row r="237" spans="1:19" x14ac:dyDescent="0.2">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2">
        <f t="shared" si="52"/>
        <v>0</v>
      </c>
    </row>
    <row r="238" spans="1:19" x14ac:dyDescent="0.2">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2">
        <f t="shared" si="52"/>
        <v>0</v>
      </c>
    </row>
    <row r="239" spans="1:19" x14ac:dyDescent="0.2">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2">
        <f t="shared" si="52"/>
        <v>0</v>
      </c>
    </row>
    <row r="240" spans="1:19" x14ac:dyDescent="0.2">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2">
        <f t="shared" si="52"/>
        <v>0</v>
      </c>
    </row>
    <row r="241" spans="1:19" x14ac:dyDescent="0.2">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2">
        <f t="shared" si="52"/>
        <v>0</v>
      </c>
    </row>
    <row r="242" spans="1:19" x14ac:dyDescent="0.2">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2">
        <f t="shared" si="52"/>
        <v>0</v>
      </c>
    </row>
    <row r="243" spans="1:19" x14ac:dyDescent="0.2">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2">
        <f t="shared" si="52"/>
        <v>0</v>
      </c>
    </row>
    <row r="244" spans="1:19" x14ac:dyDescent="0.2">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2">
        <f t="shared" si="52"/>
        <v>0</v>
      </c>
    </row>
    <row r="245" spans="1:19" x14ac:dyDescent="0.2">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2">
        <f t="shared" si="52"/>
        <v>0</v>
      </c>
    </row>
    <row r="246" spans="1:19" x14ac:dyDescent="0.2">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2">
        <f t="shared" si="52"/>
        <v>0</v>
      </c>
    </row>
    <row r="247" spans="1:19" x14ac:dyDescent="0.2">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2">
        <f t="shared" si="52"/>
        <v>0</v>
      </c>
    </row>
    <row r="248" spans="1:19" x14ac:dyDescent="0.2">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2">
        <f t="shared" si="52"/>
        <v>0</v>
      </c>
    </row>
    <row r="249" spans="1:19" x14ac:dyDescent="0.2">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2">
        <f t="shared" si="52"/>
        <v>0</v>
      </c>
    </row>
    <row r="250" spans="1:19" x14ac:dyDescent="0.2">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2">
        <f t="shared" si="52"/>
        <v>0</v>
      </c>
    </row>
    <row r="251" spans="1:19" x14ac:dyDescent="0.2">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2">
        <f t="shared" si="52"/>
        <v>0</v>
      </c>
    </row>
    <row r="252" spans="1:19" x14ac:dyDescent="0.2">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2">
        <f t="shared" si="52"/>
        <v>0</v>
      </c>
    </row>
    <row r="253" spans="1:19" x14ac:dyDescent="0.2">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2">
        <f t="shared" si="52"/>
        <v>0</v>
      </c>
    </row>
    <row r="254" spans="1:19" x14ac:dyDescent="0.2">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2">
        <f t="shared" si="52"/>
        <v>0</v>
      </c>
    </row>
    <row r="255" spans="1:19" x14ac:dyDescent="0.2">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2">
        <f t="shared" si="52"/>
        <v>0</v>
      </c>
    </row>
    <row r="256" spans="1:19" x14ac:dyDescent="0.2">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2">
        <f t="shared" si="52"/>
        <v>0</v>
      </c>
    </row>
    <row r="257" spans="1:19" x14ac:dyDescent="0.2">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2">
        <f t="shared" si="52"/>
        <v>0</v>
      </c>
    </row>
    <row r="258" spans="1:19" x14ac:dyDescent="0.2">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2">
        <f t="shared" si="52"/>
        <v>0</v>
      </c>
    </row>
    <row r="259" spans="1:19" x14ac:dyDescent="0.2">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2">
        <f t="shared" si="52"/>
        <v>0</v>
      </c>
    </row>
    <row r="260" spans="1:19" x14ac:dyDescent="0.2">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2">
        <f t="shared" si="52"/>
        <v>0</v>
      </c>
    </row>
    <row r="261" spans="1:19" x14ac:dyDescent="0.2">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2">
        <f t="shared" si="52"/>
        <v>0</v>
      </c>
    </row>
    <row r="262" spans="1:19" x14ac:dyDescent="0.2">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2">
        <f t="shared" si="52"/>
        <v>0</v>
      </c>
    </row>
    <row r="263" spans="1:19" x14ac:dyDescent="0.2">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2">
        <f t="shared" si="52"/>
        <v>0</v>
      </c>
    </row>
    <row r="264" spans="1:19" x14ac:dyDescent="0.2">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2">
        <f t="shared" si="52"/>
        <v>0</v>
      </c>
    </row>
    <row r="265" spans="1:19" x14ac:dyDescent="0.2">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2">
        <f t="shared" si="52"/>
        <v>0</v>
      </c>
    </row>
    <row r="266" spans="1:19" x14ac:dyDescent="0.2">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2">
        <f t="shared" si="52"/>
        <v>0</v>
      </c>
    </row>
    <row r="267" spans="1:19" x14ac:dyDescent="0.2">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2">
        <f t="shared" si="52"/>
        <v>0</v>
      </c>
    </row>
    <row r="268" spans="1:19" x14ac:dyDescent="0.2">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2">
        <f t="shared" si="52"/>
        <v>0</v>
      </c>
    </row>
    <row r="269" spans="1:19" x14ac:dyDescent="0.2">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2">
        <f t="shared" si="52"/>
        <v>0</v>
      </c>
    </row>
    <row r="270" spans="1:19" x14ac:dyDescent="0.2">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2">
        <f t="shared" si="52"/>
        <v>0</v>
      </c>
    </row>
    <row r="271" spans="1:19" x14ac:dyDescent="0.2">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2">
        <f t="shared" si="52"/>
        <v>0</v>
      </c>
    </row>
    <row r="272" spans="1:19" x14ac:dyDescent="0.2">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2">
        <f t="shared" si="52"/>
        <v>0</v>
      </c>
    </row>
    <row r="273" spans="1:19" x14ac:dyDescent="0.2">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2">
        <f t="shared" si="52"/>
        <v>0</v>
      </c>
    </row>
    <row r="274" spans="1:19" x14ac:dyDescent="0.2">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2">
        <f t="shared" si="52"/>
        <v>0</v>
      </c>
    </row>
    <row r="275" spans="1:19" x14ac:dyDescent="0.2">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2">
        <f t="shared" si="52"/>
        <v>0</v>
      </c>
    </row>
    <row r="276" spans="1:19" x14ac:dyDescent="0.2">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2">
        <f t="shared" si="52"/>
        <v>0</v>
      </c>
    </row>
    <row r="277" spans="1:19" x14ac:dyDescent="0.2">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2">
        <f t="shared" si="52"/>
        <v>0</v>
      </c>
    </row>
    <row r="278" spans="1:19" x14ac:dyDescent="0.2">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2">
        <f t="shared" si="52"/>
        <v>0</v>
      </c>
    </row>
    <row r="279" spans="1:19" x14ac:dyDescent="0.2">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2">
        <f t="shared" si="52"/>
        <v>0</v>
      </c>
    </row>
    <row r="280" spans="1:19" x14ac:dyDescent="0.2">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2">
        <f t="shared" si="52"/>
        <v>0</v>
      </c>
    </row>
    <row r="281" spans="1:19" x14ac:dyDescent="0.2">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2">
        <f t="shared" si="52"/>
        <v>0</v>
      </c>
    </row>
    <row r="282" spans="1:19" x14ac:dyDescent="0.2">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x14ac:dyDescent="0.2">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2">
        <f t="shared" si="52"/>
        <v>0</v>
      </c>
    </row>
    <row r="284" spans="1:19" x14ac:dyDescent="0.2">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2">
        <f t="shared" si="52"/>
        <v>0</v>
      </c>
    </row>
    <row r="285" spans="1:19" x14ac:dyDescent="0.2">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2">
        <f t="shared" si="52"/>
        <v>0</v>
      </c>
    </row>
    <row r="286" spans="1:19" x14ac:dyDescent="0.2">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2">
        <f t="shared" si="52"/>
        <v>0</v>
      </c>
    </row>
    <row r="287" spans="1:19" x14ac:dyDescent="0.2">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x14ac:dyDescent="0.2">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2">
        <f t="shared" si="62"/>
        <v>0</v>
      </c>
    </row>
    <row r="289" spans="1:19" x14ac:dyDescent="0.2">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2">
        <f t="shared" si="62"/>
        <v>0</v>
      </c>
    </row>
    <row r="290" spans="1:19" x14ac:dyDescent="0.2">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2">
        <f t="shared" si="62"/>
        <v>0</v>
      </c>
    </row>
    <row r="291" spans="1:19" x14ac:dyDescent="0.2">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2">
        <f t="shared" si="62"/>
        <v>0</v>
      </c>
    </row>
    <row r="292" spans="1:19" x14ac:dyDescent="0.2">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2">
        <f t="shared" si="62"/>
        <v>0</v>
      </c>
    </row>
    <row r="293" spans="1:19" x14ac:dyDescent="0.2">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2">
        <f t="shared" si="62"/>
        <v>0</v>
      </c>
    </row>
    <row r="294" spans="1:19" x14ac:dyDescent="0.2">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2">
        <f t="shared" si="62"/>
        <v>0</v>
      </c>
    </row>
    <row r="295" spans="1:19" x14ac:dyDescent="0.2">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2">
        <f t="shared" si="62"/>
        <v>0</v>
      </c>
    </row>
    <row r="296" spans="1:19" x14ac:dyDescent="0.2">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2">
        <f t="shared" si="62"/>
        <v>0</v>
      </c>
    </row>
    <row r="297" spans="1:19" x14ac:dyDescent="0.2">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2">
        <f t="shared" si="62"/>
        <v>0</v>
      </c>
    </row>
    <row r="298" spans="1:19" x14ac:dyDescent="0.2">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2">
        <f t="shared" si="62"/>
        <v>0</v>
      </c>
    </row>
    <row r="299" spans="1:19" x14ac:dyDescent="0.2">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2">
        <f t="shared" si="62"/>
        <v>0</v>
      </c>
    </row>
    <row r="300" spans="1:19" x14ac:dyDescent="0.2">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2">
        <f t="shared" si="62"/>
        <v>0</v>
      </c>
    </row>
    <row r="301" spans="1:19" x14ac:dyDescent="0.2">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2">
        <f t="shared" si="62"/>
        <v>0</v>
      </c>
    </row>
    <row r="302" spans="1:19" x14ac:dyDescent="0.2">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2">
        <f t="shared" si="62"/>
        <v>0</v>
      </c>
    </row>
    <row r="303" spans="1:19" x14ac:dyDescent="0.2">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2">
        <f t="shared" si="62"/>
        <v>0</v>
      </c>
    </row>
    <row r="304" spans="1:19" x14ac:dyDescent="0.2">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2">
        <f t="shared" si="62"/>
        <v>0</v>
      </c>
    </row>
    <row r="305" spans="1:19" x14ac:dyDescent="0.2">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2">
        <f t="shared" si="62"/>
        <v>0</v>
      </c>
    </row>
    <row r="306" spans="1:19" x14ac:dyDescent="0.2">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2">
        <f t="shared" si="62"/>
        <v>0</v>
      </c>
    </row>
    <row r="307" spans="1:19" x14ac:dyDescent="0.2">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2">
        <f t="shared" si="62"/>
        <v>0</v>
      </c>
    </row>
    <row r="308" spans="1:19" x14ac:dyDescent="0.2">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2">
        <f t="shared" si="62"/>
        <v>0</v>
      </c>
    </row>
    <row r="309" spans="1:19" x14ac:dyDescent="0.2">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2">
        <f t="shared" si="62"/>
        <v>0</v>
      </c>
    </row>
    <row r="310" spans="1:19" x14ac:dyDescent="0.2">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2">
        <f t="shared" si="62"/>
        <v>0</v>
      </c>
    </row>
    <row r="311" spans="1:19" x14ac:dyDescent="0.2">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2">
        <f t="shared" si="62"/>
        <v>0</v>
      </c>
    </row>
    <row r="312" spans="1:19" x14ac:dyDescent="0.2">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2">
        <f t="shared" si="62"/>
        <v>0</v>
      </c>
    </row>
    <row r="313" spans="1:19" x14ac:dyDescent="0.2">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2">
        <f t="shared" si="62"/>
        <v>0</v>
      </c>
    </row>
    <row r="314" spans="1:19" x14ac:dyDescent="0.2">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2">
        <f t="shared" si="62"/>
        <v>0</v>
      </c>
    </row>
    <row r="315" spans="1:19" x14ac:dyDescent="0.2">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2">
        <f t="shared" si="62"/>
        <v>0</v>
      </c>
    </row>
    <row r="316" spans="1:19" x14ac:dyDescent="0.2">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2">
        <f t="shared" si="62"/>
        <v>0</v>
      </c>
    </row>
    <row r="317" spans="1:19" x14ac:dyDescent="0.2">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2">
        <f t="shared" si="62"/>
        <v>0</v>
      </c>
    </row>
    <row r="318" spans="1:19" x14ac:dyDescent="0.2">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2">
        <f t="shared" si="62"/>
        <v>0</v>
      </c>
    </row>
    <row r="319" spans="1:19" x14ac:dyDescent="0.2">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2">
        <f t="shared" si="62"/>
        <v>0</v>
      </c>
    </row>
    <row r="320" spans="1:19" x14ac:dyDescent="0.2">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2">
        <f t="shared" si="62"/>
        <v>0</v>
      </c>
    </row>
    <row r="321" spans="1:19" x14ac:dyDescent="0.2">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x14ac:dyDescent="0.2">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2">
        <f t="shared" si="63"/>
        <v>0</v>
      </c>
    </row>
    <row r="323" spans="1:19" x14ac:dyDescent="0.2">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2">
        <f t="shared" si="63"/>
        <v>0</v>
      </c>
    </row>
    <row r="324" spans="1:19" x14ac:dyDescent="0.2">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2">
        <f t="shared" si="63"/>
        <v>0</v>
      </c>
    </row>
    <row r="325" spans="1:19" x14ac:dyDescent="0.2">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2">
        <f t="shared" si="63"/>
        <v>0</v>
      </c>
    </row>
    <row r="326" spans="1:19" x14ac:dyDescent="0.2">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2">
        <f t="shared" si="63"/>
        <v>0</v>
      </c>
    </row>
    <row r="327" spans="1:19" x14ac:dyDescent="0.2">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2">
        <f t="shared" si="63"/>
        <v>0</v>
      </c>
    </row>
    <row r="328" spans="1:19" x14ac:dyDescent="0.2">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2">
        <f t="shared" si="63"/>
        <v>0</v>
      </c>
    </row>
    <row r="329" spans="1:19" x14ac:dyDescent="0.2">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2">
        <f t="shared" si="63"/>
        <v>0</v>
      </c>
    </row>
    <row r="330" spans="1:19" x14ac:dyDescent="0.2">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2">
        <f t="shared" si="63"/>
        <v>0</v>
      </c>
    </row>
    <row r="331" spans="1:19" x14ac:dyDescent="0.2">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2">
        <f t="shared" si="63"/>
        <v>0</v>
      </c>
    </row>
    <row r="332" spans="1:19" x14ac:dyDescent="0.2">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2">
        <f t="shared" si="63"/>
        <v>0</v>
      </c>
    </row>
    <row r="333" spans="1:19" x14ac:dyDescent="0.2">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2">
        <f t="shared" si="63"/>
        <v>0</v>
      </c>
    </row>
    <row r="334" spans="1:19" x14ac:dyDescent="0.2">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2">
        <f t="shared" si="63"/>
        <v>0</v>
      </c>
    </row>
    <row r="335" spans="1:19" x14ac:dyDescent="0.2">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2">
        <f t="shared" si="63"/>
        <v>0</v>
      </c>
    </row>
    <row r="336" spans="1:19" x14ac:dyDescent="0.2">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2">
        <f t="shared" si="63"/>
        <v>0</v>
      </c>
    </row>
    <row r="337" spans="1:19" x14ac:dyDescent="0.2">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2">
        <f t="shared" si="63"/>
        <v>0</v>
      </c>
    </row>
    <row r="338" spans="1:19" x14ac:dyDescent="0.2">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2">
        <f t="shared" si="63"/>
        <v>0</v>
      </c>
    </row>
    <row r="339" spans="1:19" x14ac:dyDescent="0.2">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2">
        <f t="shared" si="63"/>
        <v>0</v>
      </c>
    </row>
    <row r="340" spans="1:19" x14ac:dyDescent="0.2">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2">
        <f t="shared" si="63"/>
        <v>0</v>
      </c>
    </row>
    <row r="341" spans="1:19" x14ac:dyDescent="0.2">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2">
        <f t="shared" si="63"/>
        <v>0</v>
      </c>
    </row>
    <row r="342" spans="1:19" x14ac:dyDescent="0.2">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2">
        <f t="shared" si="63"/>
        <v>0</v>
      </c>
    </row>
    <row r="343" spans="1:19" x14ac:dyDescent="0.2">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2">
        <f t="shared" si="63"/>
        <v>0</v>
      </c>
    </row>
    <row r="344" spans="1:19" x14ac:dyDescent="0.2">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2">
        <f t="shared" si="63"/>
        <v>0</v>
      </c>
    </row>
    <row r="345" spans="1:19" x14ac:dyDescent="0.2">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2">
        <f t="shared" si="63"/>
        <v>0</v>
      </c>
    </row>
    <row r="346" spans="1:19" x14ac:dyDescent="0.2">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x14ac:dyDescent="0.2">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2">
        <f t="shared" si="63"/>
        <v>0</v>
      </c>
    </row>
    <row r="348" spans="1:19" x14ac:dyDescent="0.2">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2">
        <f t="shared" si="63"/>
        <v>0</v>
      </c>
    </row>
    <row r="349" spans="1:19" x14ac:dyDescent="0.2">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2">
        <f t="shared" si="63"/>
        <v>0</v>
      </c>
    </row>
    <row r="350" spans="1:19" x14ac:dyDescent="0.2">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2">
        <f t="shared" si="63"/>
        <v>0</v>
      </c>
    </row>
    <row r="351" spans="1:19" x14ac:dyDescent="0.2">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2">
        <f t="shared" si="63"/>
        <v>0</v>
      </c>
    </row>
    <row r="352" spans="1:19" x14ac:dyDescent="0.2">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2">
        <f t="shared" si="63"/>
        <v>0</v>
      </c>
    </row>
    <row r="353" spans="1:19" x14ac:dyDescent="0.2">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2">
        <f t="shared" si="63"/>
        <v>0</v>
      </c>
    </row>
    <row r="354" spans="1:19" x14ac:dyDescent="0.2">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2">
        <f t="shared" si="63"/>
        <v>0</v>
      </c>
    </row>
    <row r="355" spans="1:19" x14ac:dyDescent="0.2">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2">
        <f t="shared" si="63"/>
        <v>0</v>
      </c>
    </row>
    <row r="356" spans="1:19" x14ac:dyDescent="0.2">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2">
        <f t="shared" si="63"/>
        <v>0</v>
      </c>
    </row>
    <row r="357" spans="1:19" x14ac:dyDescent="0.2">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2">
        <f t="shared" si="63"/>
        <v>0</v>
      </c>
    </row>
    <row r="358" spans="1:19" x14ac:dyDescent="0.2">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2">
        <f t="shared" si="63"/>
        <v>0</v>
      </c>
    </row>
    <row r="359" spans="1:19" x14ac:dyDescent="0.2">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2">
        <f t="shared" si="63"/>
        <v>0</v>
      </c>
    </row>
    <row r="360" spans="1:19" x14ac:dyDescent="0.2">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2">
        <f t="shared" si="63"/>
        <v>0</v>
      </c>
    </row>
    <row r="361" spans="1:19" x14ac:dyDescent="0.2">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2">
        <f t="shared" si="63"/>
        <v>0</v>
      </c>
    </row>
    <row r="362" spans="1:19" x14ac:dyDescent="0.2">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2">
        <f t="shared" si="63"/>
        <v>0</v>
      </c>
    </row>
    <row r="363" spans="1:19" x14ac:dyDescent="0.2">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2">
        <f t="shared" si="63"/>
        <v>0</v>
      </c>
    </row>
    <row r="364" spans="1:19" x14ac:dyDescent="0.2">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2">
        <f t="shared" si="63"/>
        <v>0</v>
      </c>
    </row>
    <row r="365" spans="1:19" x14ac:dyDescent="0.2">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2">
        <f t="shared" si="63"/>
        <v>0</v>
      </c>
    </row>
    <row r="366" spans="1:19" x14ac:dyDescent="0.2">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2">
        <f t="shared" si="63"/>
        <v>0</v>
      </c>
    </row>
    <row r="367" spans="1:19" x14ac:dyDescent="0.2">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2">
        <f t="shared" si="63"/>
        <v>0</v>
      </c>
    </row>
    <row r="368" spans="1:19" x14ac:dyDescent="0.2">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2">
        <f t="shared" si="63"/>
        <v>0</v>
      </c>
    </row>
    <row r="369" spans="1:19" x14ac:dyDescent="0.2">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2">
        <f t="shared" si="63"/>
        <v>0</v>
      </c>
    </row>
    <row r="370" spans="1:19" x14ac:dyDescent="0.2">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2">
        <f t="shared" si="63"/>
        <v>0</v>
      </c>
    </row>
    <row r="371" spans="1:19" x14ac:dyDescent="0.2">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2">
        <f t="shared" si="63"/>
        <v>0</v>
      </c>
    </row>
    <row r="372" spans="1:19" x14ac:dyDescent="0.2">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2">
        <f t="shared" si="63"/>
        <v>0</v>
      </c>
    </row>
    <row r="373" spans="1:19" x14ac:dyDescent="0.2">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2">
        <f t="shared" si="63"/>
        <v>0</v>
      </c>
    </row>
    <row r="374" spans="1:19" x14ac:dyDescent="0.2">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2">
        <f t="shared" si="63"/>
        <v>0</v>
      </c>
    </row>
    <row r="375" spans="1:19" x14ac:dyDescent="0.2">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2">
        <f t="shared" si="63"/>
        <v>0</v>
      </c>
    </row>
    <row r="376" spans="1:19" x14ac:dyDescent="0.2">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2">
        <f t="shared" si="63"/>
        <v>0</v>
      </c>
    </row>
    <row r="377" spans="1:19" x14ac:dyDescent="0.2">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2">
        <f t="shared" si="63"/>
        <v>0</v>
      </c>
    </row>
    <row r="378" spans="1:19" x14ac:dyDescent="0.2">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2">
        <f t="shared" si="63"/>
        <v>0</v>
      </c>
    </row>
    <row r="379" spans="1:19" x14ac:dyDescent="0.2">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2">
        <f t="shared" si="63"/>
        <v>0</v>
      </c>
    </row>
    <row r="380" spans="1:19" x14ac:dyDescent="0.2">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2">
        <f t="shared" si="63"/>
        <v>0</v>
      </c>
    </row>
    <row r="381" spans="1:19" x14ac:dyDescent="0.2">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2">
        <f t="shared" si="63"/>
        <v>0</v>
      </c>
    </row>
    <row r="382" spans="1:19" x14ac:dyDescent="0.2">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2">
        <f t="shared" si="63"/>
        <v>0</v>
      </c>
    </row>
    <row r="383" spans="1:19" x14ac:dyDescent="0.2">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2">
        <f t="shared" si="63"/>
        <v>0</v>
      </c>
    </row>
    <row r="384" spans="1:19" x14ac:dyDescent="0.2">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2">
        <f t="shared" si="63"/>
        <v>0</v>
      </c>
    </row>
    <row r="385" spans="1:19" x14ac:dyDescent="0.2">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x14ac:dyDescent="0.2">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2">
        <f t="shared" si="73"/>
        <v>0</v>
      </c>
    </row>
    <row r="387" spans="1:19" x14ac:dyDescent="0.2">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2">
        <f t="shared" si="73"/>
        <v>0</v>
      </c>
    </row>
    <row r="388" spans="1:19" x14ac:dyDescent="0.2">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2">
        <f t="shared" si="73"/>
        <v>0</v>
      </c>
    </row>
    <row r="389" spans="1:19" x14ac:dyDescent="0.2">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2">
        <f t="shared" si="73"/>
        <v>0</v>
      </c>
    </row>
    <row r="390" spans="1:19" x14ac:dyDescent="0.2">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2">
        <f t="shared" si="73"/>
        <v>0</v>
      </c>
    </row>
    <row r="391" spans="1:19" x14ac:dyDescent="0.2">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2">
        <f t="shared" si="73"/>
        <v>0</v>
      </c>
    </row>
    <row r="392" spans="1:19" x14ac:dyDescent="0.2">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2">
        <f t="shared" si="73"/>
        <v>0</v>
      </c>
    </row>
    <row r="393" spans="1:19" x14ac:dyDescent="0.2">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2">
        <f t="shared" si="73"/>
        <v>0</v>
      </c>
    </row>
    <row r="394" spans="1:19" x14ac:dyDescent="0.2">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2">
        <f t="shared" si="73"/>
        <v>0</v>
      </c>
    </row>
    <row r="395" spans="1:19" x14ac:dyDescent="0.2">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2">
        <f t="shared" si="73"/>
        <v>0</v>
      </c>
    </row>
    <row r="396" spans="1:19" x14ac:dyDescent="0.2">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2">
        <f t="shared" si="73"/>
        <v>0</v>
      </c>
    </row>
    <row r="397" spans="1:19" x14ac:dyDescent="0.2">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2">
        <f t="shared" si="73"/>
        <v>0</v>
      </c>
    </row>
    <row r="398" spans="1:19" x14ac:dyDescent="0.2">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2">
        <f t="shared" si="73"/>
        <v>0</v>
      </c>
    </row>
    <row r="399" spans="1:19" x14ac:dyDescent="0.2">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2">
        <f t="shared" si="73"/>
        <v>0</v>
      </c>
    </row>
    <row r="400" spans="1:19" x14ac:dyDescent="0.2">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2">
        <f t="shared" si="73"/>
        <v>0</v>
      </c>
    </row>
    <row r="401" spans="1:19" x14ac:dyDescent="0.2">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2">
        <f t="shared" si="73"/>
        <v>0</v>
      </c>
    </row>
    <row r="402" spans="1:19" x14ac:dyDescent="0.2">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2">
        <f t="shared" si="73"/>
        <v>0</v>
      </c>
    </row>
    <row r="403" spans="1:19" x14ac:dyDescent="0.2">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2">
        <f t="shared" si="73"/>
        <v>0</v>
      </c>
    </row>
    <row r="404" spans="1:19" x14ac:dyDescent="0.2">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2">
        <f t="shared" si="73"/>
        <v>0</v>
      </c>
    </row>
    <row r="405" spans="1:19" x14ac:dyDescent="0.2">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2">
        <f t="shared" si="73"/>
        <v>0</v>
      </c>
    </row>
    <row r="406" spans="1:19" x14ac:dyDescent="0.2">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2">
        <f t="shared" si="73"/>
        <v>0</v>
      </c>
    </row>
    <row r="407" spans="1:19" x14ac:dyDescent="0.2">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2">
        <f t="shared" si="73"/>
        <v>0</v>
      </c>
    </row>
    <row r="408" spans="1:19" x14ac:dyDescent="0.2">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2">
        <f t="shared" si="73"/>
        <v>0</v>
      </c>
    </row>
    <row r="409" spans="1:19" x14ac:dyDescent="0.2">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2">
        <f t="shared" si="73"/>
        <v>0</v>
      </c>
    </row>
    <row r="410" spans="1:19" x14ac:dyDescent="0.2">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x14ac:dyDescent="0.2">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2">
        <f t="shared" si="73"/>
        <v>0</v>
      </c>
    </row>
    <row r="412" spans="1:19" x14ac:dyDescent="0.2">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2">
        <f t="shared" si="73"/>
        <v>0</v>
      </c>
    </row>
    <row r="413" spans="1:19" x14ac:dyDescent="0.2">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2">
        <f t="shared" si="73"/>
        <v>0</v>
      </c>
    </row>
    <row r="414" spans="1:19" x14ac:dyDescent="0.2">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2">
        <f t="shared" si="73"/>
        <v>0</v>
      </c>
    </row>
    <row r="415" spans="1:19" x14ac:dyDescent="0.2">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2">
        <f t="shared" si="73"/>
        <v>0</v>
      </c>
    </row>
    <row r="416" spans="1:19" x14ac:dyDescent="0.2">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2">
        <f t="shared" si="73"/>
        <v>0</v>
      </c>
    </row>
    <row r="417" spans="1:19" x14ac:dyDescent="0.2">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2">
        <f t="shared" si="73"/>
        <v>0</v>
      </c>
    </row>
    <row r="418" spans="1:19" x14ac:dyDescent="0.2">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2">
        <f t="shared" si="73"/>
        <v>0</v>
      </c>
    </row>
    <row r="419" spans="1:19" x14ac:dyDescent="0.2">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2">
        <f t="shared" si="73"/>
        <v>0</v>
      </c>
    </row>
    <row r="420" spans="1:19" x14ac:dyDescent="0.2">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2">
        <f t="shared" si="73"/>
        <v>0</v>
      </c>
    </row>
    <row r="421" spans="1:19" x14ac:dyDescent="0.2">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2">
        <f t="shared" si="73"/>
        <v>0</v>
      </c>
    </row>
    <row r="422" spans="1:19" x14ac:dyDescent="0.2">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2">
        <f t="shared" si="73"/>
        <v>0</v>
      </c>
    </row>
    <row r="423" spans="1:19" x14ac:dyDescent="0.2">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x14ac:dyDescent="0.2">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2">
        <f t="shared" si="83"/>
        <v>0</v>
      </c>
    </row>
    <row r="425" spans="1:19" x14ac:dyDescent="0.2">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2">
        <f t="shared" si="83"/>
        <v>0</v>
      </c>
    </row>
    <row r="426" spans="1:19" x14ac:dyDescent="0.2">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2">
        <f t="shared" si="83"/>
        <v>0</v>
      </c>
    </row>
    <row r="427" spans="1:19" x14ac:dyDescent="0.2">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2">
        <f t="shared" si="83"/>
        <v>0</v>
      </c>
    </row>
    <row r="428" spans="1:19" x14ac:dyDescent="0.2">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2">
        <f t="shared" si="83"/>
        <v>0</v>
      </c>
    </row>
    <row r="429" spans="1:19" x14ac:dyDescent="0.2">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2">
        <f t="shared" si="83"/>
        <v>0</v>
      </c>
    </row>
    <row r="430" spans="1:19" x14ac:dyDescent="0.2">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2">
        <f t="shared" si="83"/>
        <v>0</v>
      </c>
    </row>
    <row r="431" spans="1:19" x14ac:dyDescent="0.2">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2">
        <f t="shared" si="83"/>
        <v>0</v>
      </c>
    </row>
    <row r="432" spans="1:19" x14ac:dyDescent="0.2">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2">
        <f t="shared" si="83"/>
        <v>0</v>
      </c>
    </row>
    <row r="433" spans="1:19" x14ac:dyDescent="0.2">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2">
        <f t="shared" si="83"/>
        <v>0</v>
      </c>
    </row>
    <row r="434" spans="1:19" x14ac:dyDescent="0.2">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2">
        <f t="shared" si="83"/>
        <v>0</v>
      </c>
    </row>
    <row r="435" spans="1:19" x14ac:dyDescent="0.2">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2">
        <f t="shared" si="83"/>
        <v>0</v>
      </c>
    </row>
    <row r="436" spans="1:19" x14ac:dyDescent="0.2">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2">
        <f t="shared" si="83"/>
        <v>0</v>
      </c>
    </row>
    <row r="437" spans="1:19" x14ac:dyDescent="0.2">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2">
        <f t="shared" si="83"/>
        <v>0</v>
      </c>
    </row>
    <row r="438" spans="1:19" x14ac:dyDescent="0.2">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2">
        <f t="shared" si="83"/>
        <v>0</v>
      </c>
    </row>
    <row r="439" spans="1:19" x14ac:dyDescent="0.2">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2">
        <f t="shared" si="83"/>
        <v>0</v>
      </c>
    </row>
    <row r="440" spans="1:19" x14ac:dyDescent="0.2">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2">
        <f t="shared" si="83"/>
        <v>0</v>
      </c>
    </row>
    <row r="441" spans="1:19" x14ac:dyDescent="0.2">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2">
        <f t="shared" si="83"/>
        <v>0</v>
      </c>
    </row>
    <row r="442" spans="1:19" x14ac:dyDescent="0.2">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2">
        <f t="shared" si="83"/>
        <v>0</v>
      </c>
    </row>
    <row r="443" spans="1:19" x14ac:dyDescent="0.2">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2">
        <f t="shared" si="83"/>
        <v>0</v>
      </c>
    </row>
    <row r="444" spans="1:19" x14ac:dyDescent="0.2">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2">
        <f t="shared" si="83"/>
        <v>0</v>
      </c>
    </row>
    <row r="445" spans="1:19" x14ac:dyDescent="0.2">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2">
        <f t="shared" si="83"/>
        <v>0</v>
      </c>
    </row>
    <row r="446" spans="1:19" x14ac:dyDescent="0.2">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2">
        <f t="shared" si="83"/>
        <v>0</v>
      </c>
    </row>
    <row r="447" spans="1:19" x14ac:dyDescent="0.2">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2">
        <f t="shared" si="83"/>
        <v>0</v>
      </c>
    </row>
    <row r="448" spans="1:19" x14ac:dyDescent="0.2">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2">
        <f t="shared" si="83"/>
        <v>0</v>
      </c>
    </row>
    <row r="449" spans="1:19" x14ac:dyDescent="0.2">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2">
        <f t="shared" si="83"/>
        <v>0</v>
      </c>
    </row>
    <row r="450" spans="1:19" x14ac:dyDescent="0.2">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2">
        <f t="shared" si="83"/>
        <v>0</v>
      </c>
    </row>
    <row r="451" spans="1:19" x14ac:dyDescent="0.2">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2">
        <f t="shared" si="83"/>
        <v>0</v>
      </c>
    </row>
    <row r="452" spans="1:19" x14ac:dyDescent="0.2">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2">
        <f t="shared" si="83"/>
        <v>0</v>
      </c>
    </row>
    <row r="453" spans="1:19" x14ac:dyDescent="0.2">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2">
        <f t="shared" si="83"/>
        <v>0</v>
      </c>
    </row>
    <row r="454" spans="1:19" x14ac:dyDescent="0.2">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2">
        <f t="shared" si="83"/>
        <v>0</v>
      </c>
    </row>
    <row r="455" spans="1:19" x14ac:dyDescent="0.2">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2">
        <f t="shared" si="83"/>
        <v>0</v>
      </c>
    </row>
    <row r="456" spans="1:19" x14ac:dyDescent="0.2">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2">
        <f t="shared" si="83"/>
        <v>0</v>
      </c>
    </row>
    <row r="457" spans="1:19" x14ac:dyDescent="0.2">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2">
        <f t="shared" si="83"/>
        <v>0</v>
      </c>
    </row>
    <row r="458" spans="1:19" x14ac:dyDescent="0.2">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2">
        <f t="shared" si="83"/>
        <v>0</v>
      </c>
    </row>
    <row r="459" spans="1:19" x14ac:dyDescent="0.2">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2">
        <f t="shared" si="83"/>
        <v>0</v>
      </c>
    </row>
    <row r="460" spans="1:19" x14ac:dyDescent="0.2">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2">
        <f t="shared" si="83"/>
        <v>0</v>
      </c>
    </row>
    <row r="461" spans="1:19" x14ac:dyDescent="0.2">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2">
        <f t="shared" si="83"/>
        <v>0</v>
      </c>
    </row>
    <row r="462" spans="1:19" x14ac:dyDescent="0.2">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2">
        <f t="shared" si="83"/>
        <v>0</v>
      </c>
    </row>
    <row r="463" spans="1:19" x14ac:dyDescent="0.2">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2">
        <f t="shared" si="83"/>
        <v>0</v>
      </c>
    </row>
    <row r="464" spans="1:19" x14ac:dyDescent="0.2">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2">
        <f t="shared" si="83"/>
        <v>0</v>
      </c>
    </row>
    <row r="465" spans="1:19" x14ac:dyDescent="0.2">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2">
        <f t="shared" si="83"/>
        <v>0</v>
      </c>
    </row>
    <row r="466" spans="1:19" x14ac:dyDescent="0.2">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2">
        <f t="shared" si="83"/>
        <v>0</v>
      </c>
    </row>
    <row r="467" spans="1:19" x14ac:dyDescent="0.2">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2">
        <f t="shared" si="83"/>
        <v>0</v>
      </c>
    </row>
    <row r="468" spans="1:19" x14ac:dyDescent="0.2">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x14ac:dyDescent="0.2">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2">
        <f t="shared" si="84"/>
        <v>0</v>
      </c>
    </row>
    <row r="470" spans="1:19" x14ac:dyDescent="0.2">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2">
        <f t="shared" si="84"/>
        <v>0</v>
      </c>
    </row>
    <row r="471" spans="1:19" x14ac:dyDescent="0.2">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2">
        <f t="shared" si="84"/>
        <v>0</v>
      </c>
    </row>
    <row r="472" spans="1:19" x14ac:dyDescent="0.2">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2">
        <f t="shared" si="84"/>
        <v>0</v>
      </c>
    </row>
    <row r="473" spans="1:19" x14ac:dyDescent="0.2">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2">
        <f t="shared" si="84"/>
        <v>0</v>
      </c>
    </row>
    <row r="474" spans="1:19" x14ac:dyDescent="0.2">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x14ac:dyDescent="0.2">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2">
        <f t="shared" si="84"/>
        <v>0</v>
      </c>
    </row>
    <row r="476" spans="1:19" x14ac:dyDescent="0.2">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2">
        <f t="shared" si="84"/>
        <v>0</v>
      </c>
    </row>
    <row r="477" spans="1:19" x14ac:dyDescent="0.2">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2">
        <f t="shared" si="84"/>
        <v>0</v>
      </c>
    </row>
    <row r="478" spans="1:19" x14ac:dyDescent="0.2">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2">
        <f t="shared" si="84"/>
        <v>0</v>
      </c>
    </row>
    <row r="479" spans="1:19" x14ac:dyDescent="0.2">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2">
        <f t="shared" si="84"/>
        <v>0</v>
      </c>
    </row>
    <row r="480" spans="1:19" x14ac:dyDescent="0.2">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2">
        <f t="shared" si="84"/>
        <v>0</v>
      </c>
    </row>
    <row r="481" spans="1:19" x14ac:dyDescent="0.2">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2">
        <f t="shared" si="84"/>
        <v>0</v>
      </c>
    </row>
    <row r="482" spans="1:19" x14ac:dyDescent="0.2">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2">
        <f t="shared" si="84"/>
        <v>0</v>
      </c>
    </row>
    <row r="483" spans="1:19" x14ac:dyDescent="0.2">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2">
        <f t="shared" si="84"/>
        <v>0</v>
      </c>
    </row>
    <row r="484" spans="1:19" x14ac:dyDescent="0.2">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2">
        <f t="shared" si="84"/>
        <v>0</v>
      </c>
    </row>
    <row r="485" spans="1:19" x14ac:dyDescent="0.2">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2">
        <f t="shared" si="84"/>
        <v>0</v>
      </c>
    </row>
    <row r="486" spans="1:19" x14ac:dyDescent="0.2">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2">
        <f t="shared" si="84"/>
        <v>0</v>
      </c>
    </row>
    <row r="487" spans="1:19" x14ac:dyDescent="0.2">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2">
        <f t="shared" si="84"/>
        <v>0</v>
      </c>
    </row>
    <row r="488" spans="1:19" x14ac:dyDescent="0.2">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2">
        <f t="shared" si="84"/>
        <v>0</v>
      </c>
    </row>
    <row r="489" spans="1:19" x14ac:dyDescent="0.2">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2">
        <f t="shared" si="84"/>
        <v>0</v>
      </c>
    </row>
    <row r="490" spans="1:19" x14ac:dyDescent="0.2">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2">
        <f t="shared" si="84"/>
        <v>0</v>
      </c>
    </row>
    <row r="491" spans="1:19" x14ac:dyDescent="0.2">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2">
        <f t="shared" si="84"/>
        <v>0</v>
      </c>
    </row>
    <row r="492" spans="1:19" x14ac:dyDescent="0.2">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2">
        <f t="shared" si="84"/>
        <v>0</v>
      </c>
    </row>
    <row r="493" spans="1:19" x14ac:dyDescent="0.2">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2">
        <f t="shared" si="84"/>
        <v>0</v>
      </c>
    </row>
    <row r="494" spans="1:19" x14ac:dyDescent="0.2">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2">
        <f t="shared" si="84"/>
        <v>0</v>
      </c>
    </row>
    <row r="495" spans="1:19" x14ac:dyDescent="0.2">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2">
        <f t="shared" si="84"/>
        <v>0</v>
      </c>
    </row>
    <row r="496" spans="1:19" x14ac:dyDescent="0.2">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2">
        <f t="shared" si="84"/>
        <v>0</v>
      </c>
    </row>
    <row r="497" spans="1:19" x14ac:dyDescent="0.2">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2">
        <f t="shared" si="84"/>
        <v>0</v>
      </c>
    </row>
    <row r="498" spans="1:19" x14ac:dyDescent="0.2">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x14ac:dyDescent="0.2">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2">
        <f t="shared" si="94"/>
        <v>0</v>
      </c>
    </row>
    <row r="500" spans="1:19" x14ac:dyDescent="0.2">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2">
        <f t="shared" si="94"/>
        <v>0</v>
      </c>
    </row>
    <row r="501" spans="1:19" x14ac:dyDescent="0.2">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2">
        <f t="shared" si="94"/>
        <v>0</v>
      </c>
    </row>
    <row r="502" spans="1:19" x14ac:dyDescent="0.2">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2">
        <f t="shared" si="94"/>
        <v>0</v>
      </c>
    </row>
    <row r="503" spans="1:19" x14ac:dyDescent="0.2">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2">
        <f t="shared" si="94"/>
        <v>0</v>
      </c>
    </row>
    <row r="504" spans="1:19" x14ac:dyDescent="0.2">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2">
        <f t="shared" si="94"/>
        <v>0</v>
      </c>
    </row>
    <row r="505" spans="1:19" x14ac:dyDescent="0.2">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2">
        <f t="shared" si="94"/>
        <v>0</v>
      </c>
    </row>
    <row r="506" spans="1:19" x14ac:dyDescent="0.2">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2">
        <f t="shared" si="94"/>
        <v>0</v>
      </c>
    </row>
    <row r="507" spans="1:19" x14ac:dyDescent="0.2">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2">
        <f t="shared" si="94"/>
        <v>0</v>
      </c>
    </row>
    <row r="508" spans="1:19" x14ac:dyDescent="0.2">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2">
        <f t="shared" si="94"/>
        <v>0</v>
      </c>
    </row>
    <row r="509" spans="1:19" x14ac:dyDescent="0.2">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2">
        <f t="shared" si="94"/>
        <v>0</v>
      </c>
    </row>
    <row r="510" spans="1:19" x14ac:dyDescent="0.2">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2">
        <f t="shared" si="94"/>
        <v>0</v>
      </c>
    </row>
    <row r="511" spans="1:19" x14ac:dyDescent="0.2">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2">
        <f t="shared" si="94"/>
        <v>0</v>
      </c>
    </row>
    <row r="512" spans="1:19" x14ac:dyDescent="0.2">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2">
        <f t="shared" si="94"/>
        <v>0</v>
      </c>
    </row>
    <row r="513" spans="1:19" x14ac:dyDescent="0.2">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2">
        <f t="shared" si="94"/>
        <v>0</v>
      </c>
    </row>
    <row r="514" spans="1:19" x14ac:dyDescent="0.2">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2">
        <f t="shared" si="94"/>
        <v>0</v>
      </c>
    </row>
    <row r="515" spans="1:19" x14ac:dyDescent="0.2">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2">
        <f t="shared" si="94"/>
        <v>0</v>
      </c>
    </row>
    <row r="516" spans="1:19" x14ac:dyDescent="0.2">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2">
        <f t="shared" si="94"/>
        <v>0</v>
      </c>
    </row>
    <row r="517" spans="1:19" x14ac:dyDescent="0.2">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2">
        <f t="shared" si="94"/>
        <v>0</v>
      </c>
    </row>
    <row r="518" spans="1:19" x14ac:dyDescent="0.2">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2">
        <f t="shared" si="94"/>
        <v>0</v>
      </c>
    </row>
    <row r="519" spans="1:19" x14ac:dyDescent="0.2">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2">
        <f t="shared" si="94"/>
        <v>0</v>
      </c>
    </row>
    <row r="520" spans="1:19" x14ac:dyDescent="0.2">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2">
        <f t="shared" si="94"/>
        <v>0</v>
      </c>
    </row>
    <row r="521" spans="1:19" x14ac:dyDescent="0.2">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2">
        <f t="shared" si="94"/>
        <v>0</v>
      </c>
    </row>
    <row r="522" spans="1:19" x14ac:dyDescent="0.2">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2">
        <f t="shared" si="94"/>
        <v>0</v>
      </c>
    </row>
    <row r="523" spans="1:19" x14ac:dyDescent="0.2">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2">
        <f t="shared" si="94"/>
        <v>0</v>
      </c>
    </row>
    <row r="524" spans="1:19" x14ac:dyDescent="0.2">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K26"/>
  <sheetViews>
    <sheetView view="pageBreakPreview" zoomScale="80" zoomScaleNormal="80" zoomScaleSheetLayoutView="80" workbookViewId="0">
      <selection activeCell="B34" sqref="B34"/>
    </sheetView>
  </sheetViews>
  <sheetFormatPr baseColWidth="10" defaultColWidth="9" defaultRowHeight="15" x14ac:dyDescent="0.2"/>
  <cols>
    <col min="1" max="1" width="25" style="2688" customWidth="1"/>
    <col min="2" max="9" width="15.6640625" style="2688" customWidth="1"/>
    <col min="10" max="16384" width="9" style="2688"/>
  </cols>
  <sheetData>
    <row r="1" spans="1:11" ht="17" x14ac:dyDescent="0.2">
      <c r="A1" s="2687" t="s">
        <v>1090</v>
      </c>
      <c r="B1" s="2687">
        <f>SUM(B14:B23)</f>
        <v>14818.099999999999</v>
      </c>
      <c r="C1" s="2864"/>
      <c r="D1" s="2864"/>
      <c r="E1" s="2864"/>
      <c r="F1" s="2864"/>
      <c r="G1" s="2865"/>
      <c r="H1" s="2866"/>
      <c r="I1" s="2866"/>
      <c r="J1" s="2866"/>
      <c r="K1" s="2866"/>
    </row>
    <row r="2" spans="1:11" ht="17" x14ac:dyDescent="0.2">
      <c r="A2" s="2687" t="s">
        <v>1078</v>
      </c>
      <c r="B2" s="2687">
        <f>SUM(C14:C23)</f>
        <v>0</v>
      </c>
      <c r="C2" s="2864"/>
      <c r="D2" s="2864"/>
      <c r="E2" s="2864"/>
      <c r="F2" s="2864"/>
      <c r="G2" s="2865"/>
      <c r="H2" s="2866"/>
      <c r="I2" s="2866"/>
      <c r="J2" s="2866"/>
      <c r="K2" s="2866"/>
    </row>
    <row r="3" spans="1:11" ht="17" x14ac:dyDescent="0.2">
      <c r="A3" s="2687" t="s">
        <v>1087</v>
      </c>
      <c r="B3" s="2689">
        <f>项目基本情况!D3</f>
        <v>44868</v>
      </c>
      <c r="C3" s="2864"/>
      <c r="D3" s="2864"/>
      <c r="E3" s="2864"/>
      <c r="F3" s="2864"/>
      <c r="G3" s="2865"/>
      <c r="H3" s="2866"/>
      <c r="I3" s="2866"/>
      <c r="J3" s="2866"/>
      <c r="K3" s="2866"/>
    </row>
    <row r="4" spans="1:11" ht="34" x14ac:dyDescent="0.2">
      <c r="A4" s="2687" t="s">
        <v>1086</v>
      </c>
      <c r="B4" s="2687" t="s">
        <v>1085</v>
      </c>
      <c r="C4" s="2687" t="s">
        <v>1084</v>
      </c>
      <c r="D4" s="2687" t="s">
        <v>1083</v>
      </c>
      <c r="E4" s="2864"/>
      <c r="F4" s="2865"/>
      <c r="G4" s="2865"/>
      <c r="H4" s="2866"/>
      <c r="I4" s="2866"/>
      <c r="J4" s="2866"/>
      <c r="K4" s="2866"/>
    </row>
    <row r="5" spans="1:11" ht="17" x14ac:dyDescent="0.2">
      <c r="A5" s="2687" t="s">
        <v>1082</v>
      </c>
      <c r="B5" s="2687">
        <f ca="1">SUM(D14:D23)</f>
        <v>50904.9931</v>
      </c>
      <c r="C5" s="2687">
        <f ca="1">ROUND(B5*10000/$B$1,0)</f>
        <v>34353</v>
      </c>
      <c r="D5" s="2687" t="e">
        <f ca="1">ROUND(B5*10000/$B$2,0)</f>
        <v>#DIV/0!</v>
      </c>
      <c r="E5" s="2864"/>
      <c r="F5" s="2865"/>
      <c r="G5" s="2865"/>
      <c r="H5" s="2866"/>
      <c r="I5" s="2866"/>
      <c r="J5" s="2866"/>
      <c r="K5" s="2866"/>
    </row>
    <row r="6" spans="1:11" ht="17" x14ac:dyDescent="0.2">
      <c r="A6" s="2687" t="s">
        <v>1081</v>
      </c>
      <c r="B6" s="2687" t="e">
        <f ca="1">SUM(G14:G23)</f>
        <v>#REF!</v>
      </c>
      <c r="C6" s="2687" t="e">
        <f ca="1">ROUND(B6*10000/$B$1,0)</f>
        <v>#REF!</v>
      </c>
      <c r="D6" s="2687" t="e">
        <f ca="1">ROUND(B6*10000/$B$2,0)</f>
        <v>#REF!</v>
      </c>
      <c r="E6" s="2864"/>
      <c r="F6" s="2865"/>
      <c r="G6" s="2865"/>
      <c r="H6" s="2866"/>
      <c r="I6" s="2866"/>
      <c r="J6" s="2866"/>
      <c r="K6" s="2866"/>
    </row>
    <row r="7" spans="1:11" ht="17" x14ac:dyDescent="0.2">
      <c r="A7" s="2687" t="s">
        <v>1089</v>
      </c>
      <c r="B7" s="2687">
        <f>SUM(H14:H23)</f>
        <v>0</v>
      </c>
      <c r="C7" s="2687">
        <f>ROUND(B7*10000/$B$1,0)</f>
        <v>0</v>
      </c>
      <c r="D7" s="2687" t="e">
        <f>ROUND(B7*10000/$B$2,0)</f>
        <v>#DIV/0!</v>
      </c>
      <c r="E7" s="2864"/>
      <c r="F7" s="2865"/>
      <c r="G7" s="2865"/>
      <c r="H7" s="2866"/>
      <c r="I7" s="2866"/>
      <c r="J7" s="2866"/>
      <c r="K7" s="2866"/>
    </row>
    <row r="8" spans="1:11" ht="17" x14ac:dyDescent="0.2">
      <c r="A8" s="2687" t="s">
        <v>1012</v>
      </c>
      <c r="B8" s="2687">
        <f>SUM(I14:I23)</f>
        <v>0</v>
      </c>
      <c r="C8" s="2687">
        <f>ROUND(B8*10000/$B$1,0)</f>
        <v>0</v>
      </c>
      <c r="D8" s="2687" t="e">
        <f>ROUND(B8*10000/$B$2,0)</f>
        <v>#DIV/0!</v>
      </c>
      <c r="E8" s="2864"/>
      <c r="F8" s="2865"/>
      <c r="G8" s="2865"/>
      <c r="H8" s="2866"/>
      <c r="I8" s="2866"/>
      <c r="J8" s="2866"/>
      <c r="K8" s="2866"/>
    </row>
    <row r="9" spans="1:11" ht="17" x14ac:dyDescent="0.2">
      <c r="A9" s="2687" t="s">
        <v>1080</v>
      </c>
      <c r="B9" s="2695"/>
      <c r="C9" s="2864"/>
      <c r="D9" s="2864"/>
      <c r="E9" s="2864"/>
      <c r="F9" s="2865"/>
      <c r="G9" s="2865"/>
      <c r="H9" s="2866"/>
      <c r="I9" s="2866"/>
      <c r="J9" s="2866"/>
      <c r="K9" s="2866"/>
    </row>
    <row r="10" spans="1:11" ht="17" x14ac:dyDescent="0.2">
      <c r="A10" s="2687" t="s">
        <v>1079</v>
      </c>
      <c r="B10" s="2695"/>
      <c r="C10" s="2864"/>
      <c r="D10" s="2864"/>
      <c r="E10" s="2864"/>
      <c r="F10" s="2865"/>
      <c r="G10" s="2865"/>
      <c r="H10" s="2866"/>
      <c r="I10" s="2866"/>
      <c r="J10" s="2866"/>
      <c r="K10" s="2866"/>
    </row>
    <row r="11" spans="1:11" ht="17" x14ac:dyDescent="0.2">
      <c r="A11" s="2687" t="s">
        <v>1095</v>
      </c>
      <c r="B11" s="2695"/>
      <c r="C11" s="2864"/>
      <c r="D11" s="2864"/>
      <c r="E11" s="2864"/>
      <c r="F11" s="2865"/>
      <c r="G11" s="2865"/>
      <c r="H11" s="2866"/>
      <c r="I11" s="2866"/>
      <c r="J11" s="2866"/>
      <c r="K11" s="2866"/>
    </row>
    <row r="12" spans="1:11" ht="17" x14ac:dyDescent="0.2">
      <c r="A12" s="2864"/>
      <c r="B12" s="2864"/>
      <c r="C12" s="2864"/>
      <c r="D12" s="2864"/>
      <c r="E12" s="2864"/>
      <c r="F12" s="2865"/>
      <c r="G12" s="2865"/>
      <c r="H12" s="2866"/>
      <c r="I12" s="2866"/>
      <c r="J12" s="2866"/>
      <c r="K12" s="2866"/>
    </row>
    <row r="13" spans="1:11" ht="34" x14ac:dyDescent="0.2">
      <c r="A13" s="2690" t="s">
        <v>1094</v>
      </c>
      <c r="B13" s="2691" t="s">
        <v>1091</v>
      </c>
      <c r="C13" s="2691" t="s">
        <v>1093</v>
      </c>
      <c r="D13" s="2691" t="s">
        <v>1092</v>
      </c>
      <c r="E13" s="2687" t="s">
        <v>1084</v>
      </c>
      <c r="F13" s="2687" t="s">
        <v>1083</v>
      </c>
      <c r="G13" s="2691" t="s">
        <v>1077</v>
      </c>
      <c r="H13" s="2691" t="s">
        <v>1088</v>
      </c>
      <c r="I13" s="2691" t="s">
        <v>1076</v>
      </c>
      <c r="J13" s="2865"/>
      <c r="K13" s="2866"/>
    </row>
    <row r="14" spans="1:11" ht="17" x14ac:dyDescent="0.2">
      <c r="A14" s="2692" t="s">
        <v>1075</v>
      </c>
      <c r="B14" s="2693">
        <f>租约整理!N84</f>
        <v>14818.099999999999</v>
      </c>
      <c r="C14" s="2693">
        <f>'结果表-商业'!C118</f>
        <v>0</v>
      </c>
      <c r="D14" s="2693">
        <f ca="1">租约整理!O84</f>
        <v>50904.9931</v>
      </c>
      <c r="E14" s="2693">
        <f ca="1">ROUND(D14*10000/B14,0)</f>
        <v>34353</v>
      </c>
      <c r="F14" s="2693" t="e">
        <f ca="1">ROUND(D14*10000/C14,0)</f>
        <v>#DIV/0!</v>
      </c>
      <c r="G14" s="2693" t="e">
        <f ca="1">'结果表-商业'!D122</f>
        <v>#REF!</v>
      </c>
      <c r="H14" s="2693" t="str">
        <f>'结果表-商业'!D124</f>
        <v>——</v>
      </c>
      <c r="I14" s="2693" t="str">
        <f>'结果表-商业'!D126</f>
        <v>——</v>
      </c>
      <c r="J14" s="2865"/>
      <c r="K14" s="2866"/>
    </row>
    <row r="15" spans="1:11" ht="17" x14ac:dyDescent="0.2">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7" x14ac:dyDescent="0.2">
      <c r="A16" s="2692" t="s">
        <v>1073</v>
      </c>
      <c r="B16" s="2694"/>
      <c r="C16" s="2694"/>
      <c r="D16" s="2694"/>
      <c r="E16" s="2693" t="e">
        <f t="shared" si="0"/>
        <v>#DIV/0!</v>
      </c>
      <c r="F16" s="2693" t="e">
        <f t="shared" si="1"/>
        <v>#DIV/0!</v>
      </c>
      <c r="G16" s="1451"/>
      <c r="H16" s="1451"/>
      <c r="I16" s="2694"/>
      <c r="J16" s="2866"/>
      <c r="K16" s="2866"/>
    </row>
    <row r="17" spans="1:11" ht="17" x14ac:dyDescent="0.2">
      <c r="A17" s="2692" t="s">
        <v>1072</v>
      </c>
      <c r="B17" s="2694"/>
      <c r="C17" s="2694"/>
      <c r="D17" s="2694"/>
      <c r="E17" s="2693" t="e">
        <f t="shared" si="0"/>
        <v>#DIV/0!</v>
      </c>
      <c r="F17" s="2693" t="e">
        <f t="shared" si="1"/>
        <v>#DIV/0!</v>
      </c>
      <c r="G17" s="1451"/>
      <c r="H17" s="1451"/>
      <c r="I17" s="2694"/>
      <c r="J17" s="2866"/>
      <c r="K17" s="2866"/>
    </row>
    <row r="18" spans="1:11" ht="17" x14ac:dyDescent="0.2">
      <c r="A18" s="2692" t="s">
        <v>1071</v>
      </c>
      <c r="B18" s="2694"/>
      <c r="C18" s="2694"/>
      <c r="D18" s="2694"/>
      <c r="E18" s="2693" t="e">
        <f t="shared" si="0"/>
        <v>#DIV/0!</v>
      </c>
      <c r="F18" s="2693" t="e">
        <f t="shared" si="1"/>
        <v>#DIV/0!</v>
      </c>
      <c r="G18" s="2694"/>
      <c r="H18" s="2694"/>
      <c r="I18" s="2694"/>
      <c r="J18" s="2866"/>
      <c r="K18" s="2866"/>
    </row>
    <row r="19" spans="1:11" ht="17" x14ac:dyDescent="0.2">
      <c r="A19" s="2692" t="s">
        <v>1070</v>
      </c>
      <c r="B19" s="2694"/>
      <c r="C19" s="2694"/>
      <c r="D19" s="2694"/>
      <c r="E19" s="2693" t="e">
        <f t="shared" si="0"/>
        <v>#DIV/0!</v>
      </c>
      <c r="F19" s="2693" t="e">
        <f t="shared" si="1"/>
        <v>#DIV/0!</v>
      </c>
      <c r="G19" s="2694"/>
      <c r="H19" s="2694"/>
      <c r="I19" s="2694"/>
      <c r="J19" s="2866"/>
      <c r="K19" s="2866"/>
    </row>
    <row r="20" spans="1:11" ht="17" x14ac:dyDescent="0.2">
      <c r="A20" s="2692" t="s">
        <v>1069</v>
      </c>
      <c r="B20" s="2694"/>
      <c r="C20" s="2694"/>
      <c r="D20" s="2694"/>
      <c r="E20" s="2693" t="e">
        <f t="shared" si="0"/>
        <v>#DIV/0!</v>
      </c>
      <c r="F20" s="2693" t="e">
        <f t="shared" si="1"/>
        <v>#DIV/0!</v>
      </c>
      <c r="G20" s="2694"/>
      <c r="H20" s="2694"/>
      <c r="I20" s="2694"/>
      <c r="J20" s="2866"/>
      <c r="K20" s="2866"/>
    </row>
    <row r="21" spans="1:11" ht="17" x14ac:dyDescent="0.2">
      <c r="A21" s="2692" t="s">
        <v>1068</v>
      </c>
      <c r="B21" s="2694"/>
      <c r="C21" s="2694"/>
      <c r="D21" s="2694"/>
      <c r="E21" s="2693" t="e">
        <f t="shared" si="0"/>
        <v>#DIV/0!</v>
      </c>
      <c r="F21" s="2693" t="e">
        <f t="shared" si="1"/>
        <v>#DIV/0!</v>
      </c>
      <c r="G21" s="2694"/>
      <c r="H21" s="2694"/>
      <c r="I21" s="2694"/>
      <c r="J21" s="2866"/>
      <c r="K21" s="2866"/>
    </row>
    <row r="22" spans="1:11" ht="17" x14ac:dyDescent="0.2">
      <c r="A22" s="2692" t="s">
        <v>1067</v>
      </c>
      <c r="B22" s="2694"/>
      <c r="C22" s="2694"/>
      <c r="D22" s="2694"/>
      <c r="E22" s="2693" t="e">
        <f t="shared" si="0"/>
        <v>#DIV/0!</v>
      </c>
      <c r="F22" s="2693" t="e">
        <f t="shared" si="1"/>
        <v>#DIV/0!</v>
      </c>
      <c r="G22" s="2694"/>
      <c r="H22" s="2694"/>
      <c r="I22" s="2694"/>
      <c r="J22" s="2866"/>
      <c r="K22" s="2866"/>
    </row>
    <row r="23" spans="1:11" ht="17" x14ac:dyDescent="0.2">
      <c r="A23" s="2692" t="s">
        <v>1066</v>
      </c>
      <c r="B23" s="2694"/>
      <c r="C23" s="2694"/>
      <c r="D23" s="2694"/>
      <c r="E23" s="2695" t="e">
        <f t="shared" si="0"/>
        <v>#DIV/0!</v>
      </c>
      <c r="F23" s="2695" t="e">
        <f t="shared" si="1"/>
        <v>#DIV/0!</v>
      </c>
      <c r="G23" s="2694"/>
      <c r="H23" s="2694"/>
      <c r="I23" s="2694"/>
      <c r="J23" s="2866"/>
      <c r="K23" s="2866"/>
    </row>
    <row r="24" spans="1:11" x14ac:dyDescent="0.2">
      <c r="A24" s="2866"/>
      <c r="B24" s="2866"/>
      <c r="C24" s="2866"/>
      <c r="D24" s="2866"/>
      <c r="E24" s="2866"/>
      <c r="F24" s="2866"/>
      <c r="G24" s="2866"/>
      <c r="H24" s="2866"/>
      <c r="I24" s="2866"/>
      <c r="J24" s="2866"/>
      <c r="K24" s="2866"/>
    </row>
    <row r="25" spans="1:11" x14ac:dyDescent="0.2">
      <c r="A25" s="2866"/>
      <c r="B25" s="2866"/>
      <c r="C25" s="2866"/>
      <c r="D25" s="2866"/>
      <c r="E25" s="2866"/>
      <c r="F25" s="2866"/>
      <c r="G25" s="2866"/>
      <c r="H25" s="2866"/>
      <c r="I25" s="2866"/>
      <c r="J25" s="2866"/>
      <c r="K25" s="2866"/>
    </row>
    <row r="26" spans="1:11" x14ac:dyDescent="0.2">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 workbookViewId="0">
      <selection activeCell="A37" sqref="A37"/>
    </sheetView>
  </sheetViews>
  <sheetFormatPr baseColWidth="10" defaultRowHeight="15" x14ac:dyDescent="0.2"/>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O75"/>
  <sheetViews>
    <sheetView workbookViewId="0">
      <selection activeCell="N34" sqref="N34"/>
    </sheetView>
  </sheetViews>
  <sheetFormatPr baseColWidth="10" defaultRowHeight="15" x14ac:dyDescent="0.2"/>
  <sheetData>
    <row r="1" spans="1:15" x14ac:dyDescent="0.2">
      <c r="A1" t="s">
        <v>4723</v>
      </c>
      <c r="N1">
        <f>N4/N2</f>
        <v>4.0404669116917846</v>
      </c>
      <c r="O1">
        <f>N4/O2</f>
        <v>6.0617083357451307</v>
      </c>
    </row>
    <row r="2" spans="1:15" x14ac:dyDescent="0.2">
      <c r="A2" s="3786" t="s">
        <v>4724</v>
      </c>
      <c r="B2" s="3793"/>
      <c r="C2" s="3796">
        <v>63724.9</v>
      </c>
      <c r="D2" s="3797"/>
      <c r="E2" s="3798"/>
      <c r="F2" t="s">
        <v>4731</v>
      </c>
      <c r="G2" t="s">
        <v>4732</v>
      </c>
      <c r="H2" t="s">
        <v>4733</v>
      </c>
      <c r="I2" s="3332" t="s">
        <v>4736</v>
      </c>
      <c r="J2" s="3333" t="s">
        <v>2834</v>
      </c>
      <c r="M2" t="s">
        <v>4762</v>
      </c>
      <c r="N2">
        <v>36804.39</v>
      </c>
      <c r="O2">
        <f>N2-12272.21</f>
        <v>24532.18</v>
      </c>
    </row>
    <row r="3" spans="1:15" x14ac:dyDescent="0.2">
      <c r="A3" s="3794"/>
      <c r="B3" s="3795"/>
      <c r="C3" s="3799"/>
      <c r="D3" s="3800"/>
      <c r="E3" s="3801"/>
      <c r="F3" t="s">
        <v>4729</v>
      </c>
      <c r="G3">
        <v>462</v>
      </c>
      <c r="H3">
        <v>14091.02</v>
      </c>
      <c r="I3" s="3332" t="s">
        <v>4444</v>
      </c>
      <c r="J3" s="3333">
        <v>7526.68</v>
      </c>
      <c r="M3" t="s">
        <v>4763</v>
      </c>
      <c r="N3" s="3337">
        <f>C2+C18+C34+C62</f>
        <v>214755.27</v>
      </c>
    </row>
    <row r="4" spans="1:15" x14ac:dyDescent="0.2">
      <c r="A4" s="3802" t="s">
        <v>4725</v>
      </c>
      <c r="B4" s="3805" t="s">
        <v>4726</v>
      </c>
      <c r="C4" s="3790">
        <v>43037.42</v>
      </c>
      <c r="D4" s="3790"/>
      <c r="E4" s="3790"/>
      <c r="F4" t="s">
        <v>4730</v>
      </c>
      <c r="G4">
        <v>37</v>
      </c>
      <c r="H4">
        <v>11347.39</v>
      </c>
      <c r="I4" s="3332" t="s">
        <v>3662</v>
      </c>
      <c r="J4" s="3333">
        <v>7430.57</v>
      </c>
      <c r="M4" t="s">
        <v>4764</v>
      </c>
      <c r="N4" s="3338">
        <f>C4+C20+C36+C64</f>
        <v>148706.91999999998</v>
      </c>
    </row>
    <row r="5" spans="1:15" x14ac:dyDescent="0.2">
      <c r="A5" s="3803"/>
      <c r="B5" s="3805"/>
      <c r="C5" s="3790"/>
      <c r="D5" s="3790"/>
      <c r="E5" s="3790"/>
      <c r="F5" t="s">
        <v>4734</v>
      </c>
      <c r="G5">
        <v>348</v>
      </c>
      <c r="H5">
        <v>37998.53</v>
      </c>
      <c r="I5" s="3332" t="s">
        <v>3665</v>
      </c>
      <c r="J5" s="3333">
        <v>5558.07</v>
      </c>
    </row>
    <row r="6" spans="1:15" x14ac:dyDescent="0.2">
      <c r="A6" s="3803"/>
      <c r="B6" s="3805" t="s">
        <v>4727</v>
      </c>
      <c r="C6" s="3790">
        <v>20515.32</v>
      </c>
      <c r="D6" s="3790"/>
      <c r="E6" s="3790"/>
      <c r="F6" t="s">
        <v>4735</v>
      </c>
      <c r="G6">
        <v>847</v>
      </c>
      <c r="H6">
        <f>SUM(H3:H5)</f>
        <v>63436.94</v>
      </c>
      <c r="I6" s="3332" t="s">
        <v>4737</v>
      </c>
      <c r="J6" s="3333">
        <v>2251.1999999999998</v>
      </c>
    </row>
    <row r="7" spans="1:15" x14ac:dyDescent="0.2">
      <c r="A7" s="3803"/>
      <c r="B7" s="3805"/>
      <c r="C7" s="3790"/>
      <c r="D7" s="3790"/>
      <c r="E7" s="3790"/>
      <c r="I7" s="3332" t="s">
        <v>4738</v>
      </c>
      <c r="J7" s="3333">
        <v>1465.73</v>
      </c>
    </row>
    <row r="8" spans="1:15" x14ac:dyDescent="0.2">
      <c r="A8" s="3803"/>
      <c r="B8" s="3805" t="s">
        <v>4728</v>
      </c>
      <c r="C8" s="3790">
        <v>172.16</v>
      </c>
      <c r="D8" s="3790"/>
      <c r="E8" s="3790"/>
    </row>
    <row r="9" spans="1:15" x14ac:dyDescent="0.2">
      <c r="A9" s="3804"/>
      <c r="B9" s="3805"/>
      <c r="C9" s="3790"/>
      <c r="D9" s="3790"/>
      <c r="E9" s="3790"/>
    </row>
    <row r="10" spans="1:15" x14ac:dyDescent="0.2">
      <c r="A10" s="3786" t="s">
        <v>4740</v>
      </c>
      <c r="B10" s="3787"/>
      <c r="C10" s="3790">
        <v>0</v>
      </c>
      <c r="D10" s="3790"/>
      <c r="E10" s="3790"/>
    </row>
    <row r="11" spans="1:15" x14ac:dyDescent="0.2">
      <c r="A11" s="3788"/>
      <c r="B11" s="3789"/>
      <c r="C11" s="3790"/>
      <c r="D11" s="3790"/>
      <c r="E11" s="3790"/>
    </row>
    <row r="12" spans="1:15" x14ac:dyDescent="0.2">
      <c r="A12" s="3791" t="s">
        <v>4741</v>
      </c>
      <c r="B12" s="3791"/>
      <c r="C12" s="3792" t="s">
        <v>4744</v>
      </c>
      <c r="D12" s="3792"/>
      <c r="E12" s="3792"/>
    </row>
    <row r="13" spans="1:15" x14ac:dyDescent="0.2">
      <c r="A13" s="3791"/>
      <c r="B13" s="3791"/>
      <c r="C13" s="3792"/>
      <c r="D13" s="3792"/>
      <c r="E13" s="3792"/>
    </row>
    <row r="14" spans="1:15" x14ac:dyDescent="0.2">
      <c r="A14" s="3791" t="s">
        <v>4742</v>
      </c>
      <c r="B14" s="3791"/>
      <c r="C14" s="3792" t="s">
        <v>4743</v>
      </c>
      <c r="D14" s="3792"/>
      <c r="E14" s="3792"/>
    </row>
    <row r="15" spans="1:15" x14ac:dyDescent="0.2">
      <c r="A15" s="3791"/>
      <c r="B15" s="3791"/>
      <c r="C15" s="3792"/>
      <c r="D15" s="3792"/>
      <c r="E15" s="3792"/>
    </row>
    <row r="17" spans="1:11" x14ac:dyDescent="0.2">
      <c r="A17" t="s">
        <v>4739</v>
      </c>
    </row>
    <row r="18" spans="1:11" x14ac:dyDescent="0.2">
      <c r="A18" s="3786" t="s">
        <v>4724</v>
      </c>
      <c r="B18" s="3793"/>
      <c r="C18" s="3796">
        <v>90581.78</v>
      </c>
      <c r="D18" s="3797"/>
      <c r="E18" s="3798"/>
      <c r="F18" t="s">
        <v>4731</v>
      </c>
      <c r="G18" t="s">
        <v>4732</v>
      </c>
      <c r="H18" t="s">
        <v>4733</v>
      </c>
      <c r="I18" s="3332" t="s">
        <v>4736</v>
      </c>
      <c r="J18" s="3333" t="s">
        <v>2834</v>
      </c>
      <c r="K18" s="3336" t="s">
        <v>4749</v>
      </c>
    </row>
    <row r="19" spans="1:11" x14ac:dyDescent="0.2">
      <c r="A19" s="3794"/>
      <c r="B19" s="3795"/>
      <c r="C19" s="3799"/>
      <c r="D19" s="3800"/>
      <c r="E19" s="3801"/>
      <c r="F19" t="s">
        <v>4730</v>
      </c>
      <c r="G19">
        <v>73</v>
      </c>
      <c r="H19">
        <v>14030.49</v>
      </c>
      <c r="I19" s="3332" t="s">
        <v>4444</v>
      </c>
      <c r="J19" s="3333">
        <v>3093.37</v>
      </c>
      <c r="K19" s="3334" t="s">
        <v>4748</v>
      </c>
    </row>
    <row r="20" spans="1:11" x14ac:dyDescent="0.2">
      <c r="A20" s="3802" t="s">
        <v>4725</v>
      </c>
      <c r="B20" s="3805" t="s">
        <v>4726</v>
      </c>
      <c r="C20" s="3790">
        <v>81619.399999999994</v>
      </c>
      <c r="D20" s="3790"/>
      <c r="E20" s="3790"/>
      <c r="F20" t="s">
        <v>4745</v>
      </c>
      <c r="G20">
        <v>46</v>
      </c>
      <c r="H20">
        <v>2442.6</v>
      </c>
      <c r="I20" s="3332" t="s">
        <v>3662</v>
      </c>
      <c r="J20" s="3333">
        <v>2165.56</v>
      </c>
      <c r="K20" s="3335" t="s">
        <v>4462</v>
      </c>
    </row>
    <row r="21" spans="1:11" x14ac:dyDescent="0.2">
      <c r="A21" s="3803"/>
      <c r="B21" s="3805"/>
      <c r="C21" s="3790"/>
      <c r="D21" s="3790"/>
      <c r="E21" s="3790"/>
      <c r="F21" t="s">
        <v>4746</v>
      </c>
      <c r="G21">
        <v>952</v>
      </c>
      <c r="H21">
        <v>73595.460000000006</v>
      </c>
      <c r="I21" s="3332" t="s">
        <v>3665</v>
      </c>
      <c r="J21" s="3333">
        <v>5143.42</v>
      </c>
      <c r="K21" s="3334" t="s">
        <v>4462</v>
      </c>
    </row>
    <row r="22" spans="1:11" x14ac:dyDescent="0.2">
      <c r="A22" s="3803"/>
      <c r="B22" s="3805" t="s">
        <v>4727</v>
      </c>
      <c r="C22" s="3790">
        <v>8503.84</v>
      </c>
      <c r="D22" s="3790"/>
      <c r="E22" s="3790"/>
      <c r="F22" t="s">
        <v>4747</v>
      </c>
      <c r="G22">
        <f>SUM(G19:G21)</f>
        <v>1071</v>
      </c>
      <c r="H22">
        <f>SUM(H19:H21)</f>
        <v>90068.55</v>
      </c>
      <c r="I22" s="3332" t="s">
        <v>4737</v>
      </c>
      <c r="J22" s="3333">
        <v>4078.55</v>
      </c>
      <c r="K22" s="3335" t="s">
        <v>4462</v>
      </c>
    </row>
    <row r="23" spans="1:11" x14ac:dyDescent="0.2">
      <c r="A23" s="3803"/>
      <c r="B23" s="3805"/>
      <c r="C23" s="3790"/>
      <c r="D23" s="3790"/>
      <c r="E23" s="3790"/>
      <c r="I23" s="3332" t="s">
        <v>4738</v>
      </c>
      <c r="J23" s="3333">
        <v>4201.0200000000004</v>
      </c>
      <c r="K23" s="3334" t="s">
        <v>4462</v>
      </c>
    </row>
    <row r="24" spans="1:11" x14ac:dyDescent="0.2">
      <c r="A24" s="3803"/>
      <c r="B24" s="3805" t="s">
        <v>4728</v>
      </c>
      <c r="C24" s="3790">
        <v>458.54</v>
      </c>
      <c r="D24" s="3790"/>
      <c r="E24" s="3790"/>
    </row>
    <row r="25" spans="1:11" x14ac:dyDescent="0.2">
      <c r="A25" s="3804"/>
      <c r="B25" s="3805"/>
      <c r="C25" s="3790"/>
      <c r="D25" s="3790"/>
      <c r="E25" s="3790"/>
    </row>
    <row r="26" spans="1:11" x14ac:dyDescent="0.2">
      <c r="A26" s="3786" t="s">
        <v>4740</v>
      </c>
      <c r="B26" s="3787"/>
      <c r="C26" s="3790">
        <v>1898.51</v>
      </c>
      <c r="D26" s="3790"/>
      <c r="E26" s="3790"/>
    </row>
    <row r="27" spans="1:11" x14ac:dyDescent="0.2">
      <c r="A27" s="3788"/>
      <c r="B27" s="3789"/>
      <c r="C27" s="3790"/>
      <c r="D27" s="3790"/>
      <c r="E27" s="3790"/>
    </row>
    <row r="28" spans="1:11" x14ac:dyDescent="0.2">
      <c r="A28" s="3791" t="s">
        <v>4741</v>
      </c>
      <c r="B28" s="3791"/>
      <c r="C28" s="3792" t="s">
        <v>4545</v>
      </c>
      <c r="D28" s="3792"/>
      <c r="E28" s="3792"/>
    </row>
    <row r="29" spans="1:11" x14ac:dyDescent="0.2">
      <c r="A29" s="3791"/>
      <c r="B29" s="3791"/>
      <c r="C29" s="3792"/>
      <c r="D29" s="3792"/>
      <c r="E29" s="3792"/>
    </row>
    <row r="30" spans="1:11" x14ac:dyDescent="0.2">
      <c r="A30" s="3791" t="s">
        <v>4742</v>
      </c>
      <c r="B30" s="3791"/>
      <c r="C30" s="3792" t="s">
        <v>4743</v>
      </c>
      <c r="D30" s="3792"/>
      <c r="E30" s="3792"/>
    </row>
    <row r="31" spans="1:11" x14ac:dyDescent="0.2">
      <c r="A31" s="3791"/>
      <c r="B31" s="3791"/>
      <c r="C31" s="3792"/>
      <c r="D31" s="3792"/>
      <c r="E31" s="3792"/>
    </row>
    <row r="33" spans="1:11" x14ac:dyDescent="0.2">
      <c r="A33" t="s">
        <v>4750</v>
      </c>
    </row>
    <row r="34" spans="1:11" x14ac:dyDescent="0.2">
      <c r="A34" s="3786" t="s">
        <v>4751</v>
      </c>
      <c r="B34" s="3793"/>
      <c r="C34" s="3796">
        <v>29809.68</v>
      </c>
      <c r="D34" s="3797"/>
      <c r="E34" s="3798"/>
      <c r="I34" s="3332" t="s">
        <v>4736</v>
      </c>
      <c r="J34" s="3333" t="s">
        <v>2834</v>
      </c>
      <c r="K34" s="3336" t="s">
        <v>4749</v>
      </c>
    </row>
    <row r="35" spans="1:11" x14ac:dyDescent="0.2">
      <c r="A35" s="3794"/>
      <c r="B35" s="3795"/>
      <c r="C35" s="3799"/>
      <c r="D35" s="3800"/>
      <c r="E35" s="3801"/>
      <c r="I35" s="3332" t="s">
        <v>4444</v>
      </c>
      <c r="J35" s="3333">
        <v>2129.0700000000002</v>
      </c>
      <c r="K35" s="3334" t="s">
        <v>4755</v>
      </c>
    </row>
    <row r="36" spans="1:11" x14ac:dyDescent="0.2">
      <c r="A36" s="3815" t="s">
        <v>4725</v>
      </c>
      <c r="B36" s="3805" t="s">
        <v>4726</v>
      </c>
      <c r="C36" s="3790">
        <v>23802.05</v>
      </c>
      <c r="D36" s="3790"/>
      <c r="E36" s="3790"/>
      <c r="I36" s="3332" t="s">
        <v>3662</v>
      </c>
      <c r="J36" s="3333">
        <v>1636.41</v>
      </c>
      <c r="K36" s="3335" t="s">
        <v>4462</v>
      </c>
    </row>
    <row r="37" spans="1:11" x14ac:dyDescent="0.2">
      <c r="A37" s="3815"/>
      <c r="B37" s="3805"/>
      <c r="C37" s="3790"/>
      <c r="D37" s="3790"/>
      <c r="E37" s="3790"/>
      <c r="I37" s="3332" t="s">
        <v>3665</v>
      </c>
      <c r="J37" s="3333">
        <v>2050.4899999999998</v>
      </c>
      <c r="K37" s="3334" t="s">
        <v>4462</v>
      </c>
    </row>
    <row r="38" spans="1:11" x14ac:dyDescent="0.2">
      <c r="A38" s="3815"/>
      <c r="B38" s="3805" t="s">
        <v>4727</v>
      </c>
      <c r="C38" s="3790">
        <v>3686.9</v>
      </c>
      <c r="D38" s="3790"/>
      <c r="E38" s="3790"/>
      <c r="I38" s="3332" t="s">
        <v>4737</v>
      </c>
      <c r="J38" s="3333">
        <v>2026.03</v>
      </c>
      <c r="K38" s="3335" t="s">
        <v>4462</v>
      </c>
    </row>
    <row r="39" spans="1:11" x14ac:dyDescent="0.2">
      <c r="A39" s="3815"/>
      <c r="B39" s="3805"/>
      <c r="C39" s="3790"/>
      <c r="D39" s="3790"/>
      <c r="E39" s="3790"/>
      <c r="I39" s="3332" t="s">
        <v>4738</v>
      </c>
      <c r="J39" s="3333">
        <v>2054.4</v>
      </c>
      <c r="K39" s="3334" t="s">
        <v>4462</v>
      </c>
    </row>
    <row r="40" spans="1:11" x14ac:dyDescent="0.2">
      <c r="A40" s="3815"/>
      <c r="B40" s="3805" t="s">
        <v>4728</v>
      </c>
      <c r="C40" s="3790">
        <v>191.66</v>
      </c>
      <c r="D40" s="3790"/>
      <c r="E40" s="3790"/>
    </row>
    <row r="41" spans="1:11" x14ac:dyDescent="0.2">
      <c r="A41" s="3815"/>
      <c r="B41" s="3805"/>
      <c r="C41" s="3790"/>
      <c r="D41" s="3790"/>
      <c r="E41" s="3790"/>
    </row>
    <row r="42" spans="1:11" x14ac:dyDescent="0.2">
      <c r="A42" s="3815"/>
      <c r="B42" s="3805" t="s">
        <v>4752</v>
      </c>
      <c r="C42" s="3790">
        <v>2129.0700000000002</v>
      </c>
      <c r="D42" s="3790"/>
      <c r="E42" s="3790"/>
    </row>
    <row r="43" spans="1:11" x14ac:dyDescent="0.2">
      <c r="A43" s="3815"/>
      <c r="B43" s="3805"/>
      <c r="C43" s="3790"/>
      <c r="D43" s="3790"/>
      <c r="E43" s="3790"/>
    </row>
    <row r="44" spans="1:11" x14ac:dyDescent="0.2">
      <c r="A44" s="3791" t="s">
        <v>4741</v>
      </c>
      <c r="B44" s="3791"/>
      <c r="C44" s="3792" t="s">
        <v>4753</v>
      </c>
      <c r="D44" s="3792"/>
      <c r="E44" s="3792"/>
    </row>
    <row r="45" spans="1:11" x14ac:dyDescent="0.2">
      <c r="A45" s="3791"/>
      <c r="B45" s="3791"/>
      <c r="C45" s="3792"/>
      <c r="D45" s="3792"/>
      <c r="E45" s="3792"/>
    </row>
    <row r="46" spans="1:11" x14ac:dyDescent="0.2">
      <c r="A46" s="3791" t="s">
        <v>4742</v>
      </c>
      <c r="B46" s="3791"/>
      <c r="C46" s="3792" t="s">
        <v>4743</v>
      </c>
      <c r="D46" s="3792"/>
      <c r="E46" s="3792"/>
    </row>
    <row r="47" spans="1:11" x14ac:dyDescent="0.2">
      <c r="A47" s="3791"/>
      <c r="B47" s="3791"/>
      <c r="C47" s="3792"/>
      <c r="D47" s="3792"/>
      <c r="E47" s="3792"/>
    </row>
    <row r="48" spans="1:11" x14ac:dyDescent="0.2">
      <c r="A48" s="3806" t="s">
        <v>4754</v>
      </c>
      <c r="B48" s="3807"/>
      <c r="C48" s="3807"/>
      <c r="D48" s="3807"/>
      <c r="E48" s="3807"/>
      <c r="F48" s="3808"/>
    </row>
    <row r="49" spans="1:11" x14ac:dyDescent="0.2">
      <c r="A49" s="3809"/>
      <c r="B49" s="3810"/>
      <c r="C49" s="3810"/>
      <c r="D49" s="3810"/>
      <c r="E49" s="3810"/>
      <c r="F49" s="3811"/>
    </row>
    <row r="50" spans="1:11" x14ac:dyDescent="0.2">
      <c r="A50" s="3809"/>
      <c r="B50" s="3810"/>
      <c r="C50" s="3810"/>
      <c r="D50" s="3810"/>
      <c r="E50" s="3810"/>
      <c r="F50" s="3811"/>
    </row>
    <row r="51" spans="1:11" x14ac:dyDescent="0.2">
      <c r="A51" s="3809"/>
      <c r="B51" s="3810"/>
      <c r="C51" s="3810"/>
      <c r="D51" s="3810"/>
      <c r="E51" s="3810"/>
      <c r="F51" s="3811"/>
    </row>
    <row r="52" spans="1:11" x14ac:dyDescent="0.2">
      <c r="A52" s="3809"/>
      <c r="B52" s="3810"/>
      <c r="C52" s="3810"/>
      <c r="D52" s="3810"/>
      <c r="E52" s="3810"/>
      <c r="F52" s="3811"/>
    </row>
    <row r="53" spans="1:11" x14ac:dyDescent="0.2">
      <c r="A53" s="3809"/>
      <c r="B53" s="3810"/>
      <c r="C53" s="3810"/>
      <c r="D53" s="3810"/>
      <c r="E53" s="3810"/>
      <c r="F53" s="3811"/>
    </row>
    <row r="54" spans="1:11" x14ac:dyDescent="0.2">
      <c r="A54" s="3809"/>
      <c r="B54" s="3810"/>
      <c r="C54" s="3810"/>
      <c r="D54" s="3810"/>
      <c r="E54" s="3810"/>
      <c r="F54" s="3811"/>
    </row>
    <row r="55" spans="1:11" x14ac:dyDescent="0.2">
      <c r="A55" s="3809"/>
      <c r="B55" s="3810"/>
      <c r="C55" s="3810"/>
      <c r="D55" s="3810"/>
      <c r="E55" s="3810"/>
      <c r="F55" s="3811"/>
    </row>
    <row r="56" spans="1:11" x14ac:dyDescent="0.2">
      <c r="A56" s="3809"/>
      <c r="B56" s="3810"/>
      <c r="C56" s="3810"/>
      <c r="D56" s="3810"/>
      <c r="E56" s="3810"/>
      <c r="F56" s="3811"/>
    </row>
    <row r="57" spans="1:11" x14ac:dyDescent="0.2">
      <c r="A57" s="3809"/>
      <c r="B57" s="3810"/>
      <c r="C57" s="3810"/>
      <c r="D57" s="3810"/>
      <c r="E57" s="3810"/>
      <c r="F57" s="3811"/>
    </row>
    <row r="58" spans="1:11" x14ac:dyDescent="0.2">
      <c r="A58" s="3809"/>
      <c r="B58" s="3810"/>
      <c r="C58" s="3810"/>
      <c r="D58" s="3810"/>
      <c r="E58" s="3810"/>
      <c r="F58" s="3811"/>
    </row>
    <row r="59" spans="1:11" x14ac:dyDescent="0.2">
      <c r="A59" s="3812"/>
      <c r="B59" s="3813"/>
      <c r="C59" s="3813"/>
      <c r="D59" s="3813"/>
      <c r="E59" s="3813"/>
      <c r="F59" s="3814"/>
    </row>
    <row r="61" spans="1:11" x14ac:dyDescent="0.2">
      <c r="A61" t="s">
        <v>4756</v>
      </c>
    </row>
    <row r="62" spans="1:11" x14ac:dyDescent="0.2">
      <c r="A62" s="3786" t="s">
        <v>4724</v>
      </c>
      <c r="B62" s="3793"/>
      <c r="C62" s="3796">
        <v>30638.91</v>
      </c>
      <c r="D62" s="3797"/>
      <c r="E62" s="3798"/>
      <c r="F62" t="s">
        <v>4731</v>
      </c>
      <c r="G62" t="s">
        <v>4732</v>
      </c>
      <c r="H62" t="s">
        <v>4733</v>
      </c>
      <c r="I62" s="3332" t="s">
        <v>4736</v>
      </c>
      <c r="J62" s="3333" t="s">
        <v>2834</v>
      </c>
      <c r="K62" s="3336" t="s">
        <v>4749</v>
      </c>
    </row>
    <row r="63" spans="1:11" x14ac:dyDescent="0.2">
      <c r="A63" s="3794"/>
      <c r="B63" s="3795"/>
      <c r="C63" s="3799"/>
      <c r="D63" s="3800"/>
      <c r="E63" s="3801"/>
      <c r="F63" t="s">
        <v>4758</v>
      </c>
      <c r="G63">
        <v>1079</v>
      </c>
      <c r="H63">
        <v>31371.81</v>
      </c>
      <c r="I63" s="3332" t="s">
        <v>4444</v>
      </c>
      <c r="J63" s="3333">
        <v>24436.22</v>
      </c>
      <c r="K63" s="3334" t="s">
        <v>4760</v>
      </c>
    </row>
    <row r="64" spans="1:11" x14ac:dyDescent="0.2">
      <c r="A64" s="3802" t="s">
        <v>4725</v>
      </c>
      <c r="B64" s="3805" t="s">
        <v>4726</v>
      </c>
      <c r="C64" s="3790">
        <v>248.05</v>
      </c>
      <c r="D64" s="3790"/>
      <c r="E64" s="3790"/>
      <c r="F64" t="s">
        <v>4759</v>
      </c>
      <c r="G64">
        <f>G63</f>
        <v>1079</v>
      </c>
      <c r="H64">
        <f>H63</f>
        <v>31371.81</v>
      </c>
      <c r="I64" s="3332" t="s">
        <v>3662</v>
      </c>
      <c r="J64" s="3333">
        <v>24188.45</v>
      </c>
      <c r="K64" s="3335" t="s">
        <v>4462</v>
      </c>
    </row>
    <row r="65" spans="1:11" x14ac:dyDescent="0.2">
      <c r="A65" s="3803"/>
      <c r="B65" s="3805"/>
      <c r="C65" s="3790"/>
      <c r="D65" s="3790"/>
      <c r="E65" s="3790"/>
      <c r="I65" s="3332" t="s">
        <v>3665</v>
      </c>
      <c r="J65" s="3333">
        <v>226.83</v>
      </c>
      <c r="K65" s="3334" t="s">
        <v>4761</v>
      </c>
    </row>
    <row r="66" spans="1:11" x14ac:dyDescent="0.2">
      <c r="A66" s="3803"/>
      <c r="B66" s="3805" t="s">
        <v>4727</v>
      </c>
      <c r="C66" s="3790">
        <v>30390.86</v>
      </c>
      <c r="D66" s="3790"/>
      <c r="E66" s="3790"/>
      <c r="I66" s="3332" t="s">
        <v>4737</v>
      </c>
      <c r="J66" s="3333">
        <v>248.05</v>
      </c>
      <c r="K66" s="3335" t="s">
        <v>4462</v>
      </c>
    </row>
    <row r="67" spans="1:11" x14ac:dyDescent="0.2">
      <c r="A67" s="3803"/>
      <c r="B67" s="3805"/>
      <c r="C67" s="3790"/>
      <c r="D67" s="3790"/>
      <c r="E67" s="3790"/>
    </row>
    <row r="68" spans="1:11" x14ac:dyDescent="0.2">
      <c r="A68" s="3803"/>
      <c r="B68" s="3805" t="s">
        <v>4728</v>
      </c>
      <c r="C68" s="3790">
        <v>0</v>
      </c>
      <c r="D68" s="3790"/>
      <c r="E68" s="3790"/>
    </row>
    <row r="69" spans="1:11" x14ac:dyDescent="0.2">
      <c r="A69" s="3804"/>
      <c r="B69" s="3805"/>
      <c r="C69" s="3790"/>
      <c r="D69" s="3790"/>
      <c r="E69" s="3790"/>
    </row>
    <row r="70" spans="1:11" x14ac:dyDescent="0.2">
      <c r="A70" s="3786" t="s">
        <v>4740</v>
      </c>
      <c r="B70" s="3787"/>
      <c r="C70" s="3790">
        <v>18460.64</v>
      </c>
      <c r="D70" s="3790"/>
      <c r="E70" s="3790"/>
    </row>
    <row r="71" spans="1:11" x14ac:dyDescent="0.2">
      <c r="A71" s="3788"/>
      <c r="B71" s="3789"/>
      <c r="C71" s="3790"/>
      <c r="D71" s="3790"/>
      <c r="E71" s="3790"/>
    </row>
    <row r="72" spans="1:11" x14ac:dyDescent="0.2">
      <c r="A72" s="3791" t="s">
        <v>4741</v>
      </c>
      <c r="B72" s="3791"/>
      <c r="C72" s="3792" t="s">
        <v>4757</v>
      </c>
      <c r="D72" s="3792"/>
      <c r="E72" s="3792"/>
    </row>
    <row r="73" spans="1:11" x14ac:dyDescent="0.2">
      <c r="A73" s="3791"/>
      <c r="B73" s="3791"/>
      <c r="C73" s="3792"/>
      <c r="D73" s="3792"/>
      <c r="E73" s="3792"/>
    </row>
    <row r="74" spans="1:11" x14ac:dyDescent="0.2">
      <c r="A74" s="3791" t="s">
        <v>4742</v>
      </c>
      <c r="B74" s="3791"/>
      <c r="C74" s="3792" t="s">
        <v>4743</v>
      </c>
      <c r="D74" s="3792"/>
      <c r="E74" s="3792"/>
    </row>
    <row r="75" spans="1:11" x14ac:dyDescent="0.2">
      <c r="A75" s="3791"/>
      <c r="B75" s="3791"/>
      <c r="C75" s="3792"/>
      <c r="D75" s="3792"/>
      <c r="E75" s="3792"/>
    </row>
  </sheetData>
  <mergeCells count="61">
    <mergeCell ref="A2:B3"/>
    <mergeCell ref="C2:E3"/>
    <mergeCell ref="A4:A9"/>
    <mergeCell ref="B4:B5"/>
    <mergeCell ref="C4:E5"/>
    <mergeCell ref="B6:B7"/>
    <mergeCell ref="C6:E7"/>
    <mergeCell ref="B8:B9"/>
    <mergeCell ref="C8:E9"/>
    <mergeCell ref="A18:B19"/>
    <mergeCell ref="C18:E19"/>
    <mergeCell ref="A20:A25"/>
    <mergeCell ref="B20:B21"/>
    <mergeCell ref="C20:E21"/>
    <mergeCell ref="B22:B23"/>
    <mergeCell ref="C22:E23"/>
    <mergeCell ref="B24:B25"/>
    <mergeCell ref="C24:E25"/>
    <mergeCell ref="A26:B27"/>
    <mergeCell ref="C26:E27"/>
    <mergeCell ref="A28:B29"/>
    <mergeCell ref="C28:E29"/>
    <mergeCell ref="A30:B31"/>
    <mergeCell ref="C30:E31"/>
    <mergeCell ref="A10:B11"/>
    <mergeCell ref="C10:E11"/>
    <mergeCell ref="A12:B13"/>
    <mergeCell ref="C12:E13"/>
    <mergeCell ref="A14:B15"/>
    <mergeCell ref="C14:E15"/>
    <mergeCell ref="A48:F59"/>
    <mergeCell ref="A34:B35"/>
    <mergeCell ref="C34:E35"/>
    <mergeCell ref="A36:A43"/>
    <mergeCell ref="B36:B37"/>
    <mergeCell ref="C36:E37"/>
    <mergeCell ref="B38:B39"/>
    <mergeCell ref="C38:E39"/>
    <mergeCell ref="B40:B41"/>
    <mergeCell ref="C40:E41"/>
    <mergeCell ref="B42:B43"/>
    <mergeCell ref="C42:E43"/>
    <mergeCell ref="A44:B45"/>
    <mergeCell ref="C44:E45"/>
    <mergeCell ref="A46:B47"/>
    <mergeCell ref="C46:E47"/>
    <mergeCell ref="A62:B63"/>
    <mergeCell ref="C62:E63"/>
    <mergeCell ref="A64:A69"/>
    <mergeCell ref="B64:B65"/>
    <mergeCell ref="C64:E65"/>
    <mergeCell ref="B66:B67"/>
    <mergeCell ref="C66:E67"/>
    <mergeCell ref="B68:B69"/>
    <mergeCell ref="C68:E69"/>
    <mergeCell ref="A70:B71"/>
    <mergeCell ref="C70:E71"/>
    <mergeCell ref="A72:B73"/>
    <mergeCell ref="C72:E73"/>
    <mergeCell ref="A74:B75"/>
    <mergeCell ref="C74:E75"/>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baseColWidth="10" defaultColWidth="9" defaultRowHeight="14" x14ac:dyDescent="0.2"/>
  <cols>
    <col min="1" max="1" width="27.6640625" style="1612" customWidth="1"/>
    <col min="2" max="9" width="12.1640625" style="1612" customWidth="1"/>
    <col min="10" max="16384" width="9" style="1612"/>
  </cols>
  <sheetData>
    <row r="1" spans="1:9" ht="19" thickBot="1" x14ac:dyDescent="0.25">
      <c r="A1" s="3394" t="str">
        <f>IF(项目基本情况!B9="房地产市场价值","估价结果一览表","结果表-2")</f>
        <v>估价结果一览表</v>
      </c>
      <c r="B1" s="3394"/>
      <c r="C1" s="3394"/>
      <c r="D1" s="3394"/>
      <c r="E1" s="3394"/>
      <c r="F1" s="3394"/>
      <c r="G1" s="3394"/>
      <c r="H1" s="3394"/>
      <c r="I1" s="3394"/>
    </row>
    <row r="2" spans="1:9" ht="30" customHeight="1" thickTop="1" x14ac:dyDescent="0.2">
      <c r="A2" s="3395" t="s">
        <v>1365</v>
      </c>
      <c r="B2" s="3395" t="s">
        <v>1366</v>
      </c>
      <c r="C2" s="3395" t="s">
        <v>1367</v>
      </c>
      <c r="D2" s="3395" t="str">
        <f>'结果表-商业'!D116</f>
        <v>出让国有建设用地使用权价值</v>
      </c>
      <c r="E2" s="3395"/>
      <c r="F2" s="3395" t="str">
        <f>'结果表-商业'!F116</f>
        <v>在建建筑物价值</v>
      </c>
      <c r="G2" s="3395"/>
      <c r="H2" s="3395" t="str">
        <f>IF(项目基本情况!B9="房地产市场价值","房地产市场价值","房地产价值")</f>
        <v>房地产市场价值</v>
      </c>
      <c r="I2" s="3395"/>
    </row>
    <row r="3" spans="1:9" ht="16" x14ac:dyDescent="0.2">
      <c r="A3" s="3389"/>
      <c r="B3" s="3389"/>
      <c r="C3" s="3389"/>
      <c r="D3" s="943" t="s">
        <v>1362</v>
      </c>
      <c r="E3" s="943" t="s">
        <v>1368</v>
      </c>
      <c r="F3" s="943" t="s">
        <v>1362</v>
      </c>
      <c r="G3" s="943" t="s">
        <v>1363</v>
      </c>
      <c r="H3" s="943" t="s">
        <v>1362</v>
      </c>
      <c r="I3" s="943" t="s">
        <v>1363</v>
      </c>
    </row>
    <row r="4" spans="1:9" ht="16" x14ac:dyDescent="0.2">
      <c r="A4" s="1640" t="str">
        <f>项目基本情况!S2</f>
        <v>北京市房地产</v>
      </c>
      <c r="B4" s="943">
        <f>项目基本情况!C17</f>
        <v>58.81</v>
      </c>
      <c r="C4" s="943">
        <f>项目基本情况!C18</f>
        <v>0</v>
      </c>
      <c r="D4" s="943" t="e">
        <f ca="1">'结果表-商业'!D118</f>
        <v>#REF!</v>
      </c>
      <c r="E4" s="943" t="e">
        <f ca="1">'结果表-商业'!E118</f>
        <v>#REF!</v>
      </c>
      <c r="F4" s="943" t="e">
        <f ca="1">'结果表-商业'!F118</f>
        <v>#REF!</v>
      </c>
      <c r="G4" s="943" t="e">
        <f ca="1">'结果表-商业'!G118</f>
        <v>#REF!</v>
      </c>
      <c r="H4" s="943" t="e">
        <f ca="1">'结果表-商业'!H118</f>
        <v>#REF!</v>
      </c>
      <c r="I4" s="943" t="e">
        <f ca="1">'结果表-商业'!I118</f>
        <v>#REF!</v>
      </c>
    </row>
    <row r="5" spans="1:9" ht="30" customHeight="1" x14ac:dyDescent="0.2">
      <c r="A5" s="3389" t="s">
        <v>1364</v>
      </c>
      <c r="B5" s="3389"/>
      <c r="C5" s="3389"/>
      <c r="D5" s="3390" t="e">
        <f ca="1">'结果表-商业'!D119</f>
        <v>#REF!</v>
      </c>
      <c r="E5" s="3390"/>
      <c r="F5" s="3390" t="e">
        <f ca="1">'结果表-商业'!F119</f>
        <v>#REF!</v>
      </c>
      <c r="G5" s="3390"/>
      <c r="H5" s="3390" t="e">
        <f ca="1">'结果表-商业'!H119</f>
        <v>#REF!</v>
      </c>
      <c r="I5" s="3390"/>
    </row>
    <row r="6" spans="1:9" ht="16" x14ac:dyDescent="0.2">
      <c r="A6" s="3388" t="str">
        <f>'结果表-商业'!A120</f>
        <v/>
      </c>
      <c r="B6" s="3388"/>
      <c r="C6" s="3388"/>
      <c r="D6" s="3388">
        <f>'结果表-商业'!D120</f>
        <v>0</v>
      </c>
      <c r="E6" s="3388"/>
      <c r="F6" s="3388"/>
      <c r="G6" s="3388"/>
      <c r="H6" s="3388"/>
      <c r="I6" s="3388"/>
    </row>
    <row r="7" spans="1:9" ht="16" x14ac:dyDescent="0.2">
      <c r="A7" s="3389" t="s">
        <v>1364</v>
      </c>
      <c r="B7" s="3389"/>
      <c r="C7" s="3389"/>
      <c r="D7" s="3391" t="str">
        <f>'结果表-商业'!D121</f>
        <v>零元整</v>
      </c>
      <c r="E7" s="3392"/>
      <c r="F7" s="3392"/>
      <c r="G7" s="3392"/>
      <c r="H7" s="3392"/>
      <c r="I7" s="3393"/>
    </row>
    <row r="8" spans="1:9" ht="16" x14ac:dyDescent="0.2">
      <c r="A8" s="3388" t="str">
        <f>'结果表-商业'!A122</f>
        <v/>
      </c>
      <c r="B8" s="3388"/>
      <c r="C8" s="3388"/>
      <c r="D8" s="3388" t="e">
        <f ca="1">'结果表-商业'!D122</f>
        <v>#REF!</v>
      </c>
      <c r="E8" s="3388"/>
      <c r="F8" s="3388"/>
      <c r="G8" s="3388"/>
      <c r="H8" s="3388"/>
      <c r="I8" s="3388"/>
    </row>
    <row r="9" spans="1:9" ht="16" x14ac:dyDescent="0.2">
      <c r="A9" s="3389" t="s">
        <v>1364</v>
      </c>
      <c r="B9" s="3389"/>
      <c r="C9" s="3389"/>
      <c r="D9" s="3390" t="e">
        <f ca="1">'结果表-商业'!D123</f>
        <v>#REF!</v>
      </c>
      <c r="E9" s="3390"/>
      <c r="F9" s="3390"/>
      <c r="G9" s="3390"/>
      <c r="H9" s="3390"/>
      <c r="I9" s="3390"/>
    </row>
    <row r="10" spans="1:9" ht="16" x14ac:dyDescent="0.2">
      <c r="A10" s="3388" t="str">
        <f>'结果表-商业'!A124</f>
        <v/>
      </c>
      <c r="B10" s="3388"/>
      <c r="C10" s="3388"/>
      <c r="D10" s="3388" t="str">
        <f>'结果表-商业'!D124</f>
        <v>——</v>
      </c>
      <c r="E10" s="3388"/>
      <c r="F10" s="3388"/>
      <c r="G10" s="3388"/>
      <c r="H10" s="3388"/>
      <c r="I10" s="3388"/>
    </row>
    <row r="11" spans="1:9" ht="16" x14ac:dyDescent="0.2">
      <c r="A11" s="3389" t="s">
        <v>1364</v>
      </c>
      <c r="B11" s="3389"/>
      <c r="C11" s="3389"/>
      <c r="D11" s="3390" t="e">
        <f>'结果表-商业'!D125</f>
        <v>#VALUE!</v>
      </c>
      <c r="E11" s="3390"/>
      <c r="F11" s="3390"/>
      <c r="G11" s="3390"/>
      <c r="H11" s="3390"/>
      <c r="I11" s="3390"/>
    </row>
    <row r="12" spans="1:9" ht="16" x14ac:dyDescent="0.2">
      <c r="A12" s="3388" t="str">
        <f>'结果表-商业'!A126</f>
        <v/>
      </c>
      <c r="B12" s="3388"/>
      <c r="C12" s="3388"/>
      <c r="D12" s="3388" t="str">
        <f>'结果表-商业'!D126</f>
        <v>——</v>
      </c>
      <c r="E12" s="3388"/>
      <c r="F12" s="3388"/>
      <c r="G12" s="3388"/>
      <c r="H12" s="3388"/>
      <c r="I12" s="3388"/>
    </row>
    <row r="13" spans="1:9" ht="17" thickBot="1" x14ac:dyDescent="0.25">
      <c r="A13" s="3385" t="s">
        <v>1364</v>
      </c>
      <c r="B13" s="3385"/>
      <c r="C13" s="3385"/>
      <c r="D13" s="3386" t="e">
        <f>'结果表-商业'!D127</f>
        <v>#VALUE!</v>
      </c>
      <c r="E13" s="3386"/>
      <c r="F13" s="3386"/>
      <c r="G13" s="3386"/>
      <c r="H13" s="3386"/>
      <c r="I13" s="3386"/>
    </row>
    <row r="14" spans="1:9" ht="15" thickTop="1" x14ac:dyDescent="0.2">
      <c r="A14" s="3387" t="s">
        <v>1369</v>
      </c>
      <c r="B14" s="3387"/>
      <c r="C14" s="3387"/>
      <c r="D14" s="3387"/>
      <c r="E14" s="3387"/>
      <c r="F14" s="3387"/>
      <c r="G14" s="3387"/>
      <c r="H14" s="3387"/>
      <c r="I14" s="3387"/>
    </row>
    <row r="16" spans="1:9" ht="18" x14ac:dyDescent="0.2">
      <c r="A16" s="1641" t="s">
        <v>1352</v>
      </c>
      <c r="B16" s="1624"/>
      <c r="C16" s="1624"/>
      <c r="D16" s="1624"/>
      <c r="E16" s="1624"/>
      <c r="F16" s="1624"/>
      <c r="G16" s="1624"/>
      <c r="H16" s="1624"/>
      <c r="I16" s="1624"/>
    </row>
    <row r="17" spans="1:9" x14ac:dyDescent="0.2">
      <c r="A17" s="1624"/>
      <c r="B17" s="1624"/>
      <c r="C17" s="1624"/>
      <c r="D17" s="1624"/>
      <c r="E17" s="1624"/>
      <c r="F17" s="1624"/>
      <c r="G17" s="1624"/>
      <c r="H17" s="1624"/>
      <c r="I17" s="1624"/>
    </row>
    <row r="18" spans="1:9" x14ac:dyDescent="0.2">
      <c r="A18" s="1624"/>
      <c r="B18" s="1624"/>
      <c r="C18" s="1624"/>
      <c r="D18" s="1624"/>
      <c r="E18" s="1624"/>
      <c r="F18" s="1624"/>
      <c r="G18" s="1624"/>
      <c r="H18" s="1624"/>
      <c r="I18" s="1624"/>
    </row>
    <row r="19" spans="1:9" x14ac:dyDescent="0.2">
      <c r="A19" s="1624"/>
      <c r="B19" s="1624"/>
      <c r="C19" s="1624"/>
      <c r="D19" s="1624"/>
      <c r="E19" s="1624"/>
      <c r="F19" s="1624"/>
      <c r="G19" s="1624"/>
      <c r="H19" s="1624"/>
      <c r="I19" s="1624"/>
    </row>
    <row r="20" spans="1:9" x14ac:dyDescent="0.2">
      <c r="A20" s="1624"/>
      <c r="B20" s="1624"/>
      <c r="C20" s="1624"/>
      <c r="D20" s="1624"/>
      <c r="E20" s="1624"/>
      <c r="F20" s="1624"/>
      <c r="G20" s="1624"/>
      <c r="H20" s="1624"/>
      <c r="I20" s="1624"/>
    </row>
    <row r="21" spans="1:9" x14ac:dyDescent="0.2">
      <c r="A21" s="1624"/>
      <c r="B21" s="1624"/>
      <c r="C21" s="1624"/>
      <c r="D21" s="1624"/>
      <c r="E21" s="1624"/>
      <c r="F21" s="1624"/>
      <c r="G21" s="1624"/>
      <c r="H21" s="1624"/>
      <c r="I21" s="1624"/>
    </row>
    <row r="22" spans="1:9" x14ac:dyDescent="0.2">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baseColWidth="10" defaultColWidth="9" defaultRowHeight="14" x14ac:dyDescent="0.2"/>
  <cols>
    <col min="1" max="1" width="9.5" style="1822" customWidth="1"/>
    <col min="2" max="2" width="24.5" style="1707" customWidth="1"/>
    <col min="3" max="3" width="24.5" style="2685" customWidth="1"/>
    <col min="4" max="4" width="2.6640625" style="2685" customWidth="1"/>
    <col min="5" max="5" width="5.83203125" style="2685" customWidth="1"/>
    <col min="6" max="6" width="27" style="1707" customWidth="1"/>
    <col min="7" max="7" width="27" style="2686" customWidth="1"/>
    <col min="8" max="8" width="11.83203125" style="2666" customWidth="1"/>
    <col min="9" max="9" width="16.6640625" style="2667" customWidth="1"/>
    <col min="10" max="10" width="2.6640625" style="2666" customWidth="1"/>
    <col min="11" max="11" width="11.83203125" style="2666" customWidth="1"/>
    <col min="12" max="12" width="16.6640625" style="2667" customWidth="1"/>
    <col min="13" max="13" width="2.6640625" style="2666" customWidth="1"/>
    <col min="14" max="14" width="11.83203125" style="2666" customWidth="1"/>
    <col min="15" max="15" width="16.6640625" style="2667" customWidth="1"/>
    <col min="16" max="16" width="2.6640625" style="2666" customWidth="1"/>
    <col min="17" max="17" width="11.83203125" style="2666" customWidth="1"/>
    <col min="18" max="18" width="16.6640625" style="2668" customWidth="1"/>
    <col min="19" max="29" width="9" style="887"/>
    <col min="30" max="16384" width="9" style="1822"/>
  </cols>
  <sheetData>
    <row r="1" spans="1:29" s="2632" customFormat="1" ht="19" thickBot="1" x14ac:dyDescent="0.25">
      <c r="A1" s="3816" t="s">
        <v>2787</v>
      </c>
      <c r="B1" s="3817"/>
      <c r="C1" s="3817"/>
      <c r="D1" s="3817"/>
      <c r="E1" s="3817"/>
      <c r="F1" s="3817"/>
      <c r="G1" s="3817"/>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x14ac:dyDescent="0.25">
      <c r="A2" s="2633"/>
      <c r="B2" s="2634"/>
      <c r="C2" s="2635" t="s">
        <v>2782</v>
      </c>
      <c r="D2" s="2636"/>
      <c r="E2" s="2633"/>
      <c r="F2" s="2637"/>
      <c r="G2" s="2635" t="s">
        <v>2783</v>
      </c>
      <c r="H2" s="887"/>
      <c r="I2" s="887"/>
      <c r="J2" s="887"/>
      <c r="K2" s="887"/>
      <c r="L2" s="887"/>
      <c r="M2" s="887"/>
      <c r="N2" s="887"/>
      <c r="O2" s="887"/>
      <c r="P2" s="887"/>
      <c r="Q2" s="887"/>
      <c r="R2" s="887"/>
    </row>
    <row r="3" spans="1:29" ht="56" x14ac:dyDescent="0.2">
      <c r="A3" s="2616" t="s">
        <v>2784</v>
      </c>
      <c r="B3" s="2638" t="s">
        <v>2753</v>
      </c>
      <c r="C3" s="2639" t="s">
        <v>2785</v>
      </c>
      <c r="D3" s="2640"/>
      <c r="E3" s="2617" t="s">
        <v>2784</v>
      </c>
      <c r="F3" s="2641" t="s">
        <v>2754</v>
      </c>
      <c r="G3" s="2642" t="s">
        <v>2786</v>
      </c>
      <c r="H3" s="887"/>
      <c r="I3" s="887"/>
      <c r="J3" s="887"/>
      <c r="K3" s="887"/>
      <c r="L3" s="887"/>
      <c r="M3" s="887"/>
      <c r="N3" s="887"/>
      <c r="O3" s="887"/>
      <c r="P3" s="887"/>
      <c r="Q3" s="887"/>
      <c r="R3" s="887"/>
    </row>
    <row r="4" spans="1:29" ht="42" x14ac:dyDescent="0.2">
      <c r="A4" s="2617"/>
      <c r="B4" s="329" t="s">
        <v>2755</v>
      </c>
      <c r="C4" s="2643" t="s">
        <v>2756</v>
      </c>
      <c r="D4" s="2640"/>
      <c r="E4" s="2644"/>
      <c r="F4" s="1507" t="s">
        <v>2757</v>
      </c>
      <c r="G4" s="2645" t="s">
        <v>2758</v>
      </c>
      <c r="H4" s="887"/>
      <c r="I4" s="887"/>
      <c r="J4" s="887"/>
      <c r="K4" s="887"/>
      <c r="L4" s="887"/>
      <c r="M4" s="887"/>
      <c r="N4" s="887"/>
      <c r="O4" s="887"/>
      <c r="P4" s="887"/>
      <c r="Q4" s="887"/>
      <c r="R4" s="887"/>
    </row>
    <row r="5" spans="1:29" ht="42" x14ac:dyDescent="0.2">
      <c r="A5" s="2617"/>
      <c r="B5" s="329" t="s">
        <v>2759</v>
      </c>
      <c r="C5" s="2643" t="s">
        <v>2760</v>
      </c>
      <c r="D5" s="2640"/>
      <c r="E5" s="2644"/>
      <c r="F5" s="329" t="s">
        <v>2761</v>
      </c>
      <c r="G5" s="2645" t="s">
        <v>2762</v>
      </c>
      <c r="H5" s="887"/>
      <c r="I5" s="887"/>
      <c r="J5" s="887"/>
      <c r="K5" s="887"/>
      <c r="L5" s="887"/>
      <c r="M5" s="887"/>
      <c r="N5" s="887"/>
      <c r="O5" s="887"/>
      <c r="P5" s="887"/>
      <c r="Q5" s="887"/>
      <c r="R5" s="887"/>
    </row>
    <row r="6" spans="1:29" ht="42" x14ac:dyDescent="0.2">
      <c r="A6" s="2617"/>
      <c r="B6" s="329" t="s">
        <v>2763</v>
      </c>
      <c r="C6" s="2645" t="s">
        <v>2758</v>
      </c>
      <c r="D6" s="2640"/>
      <c r="E6" s="2644"/>
      <c r="F6" s="329" t="s">
        <v>2764</v>
      </c>
      <c r="G6" s="2645" t="s">
        <v>2765</v>
      </c>
      <c r="H6" s="887"/>
      <c r="I6" s="887"/>
      <c r="J6" s="887"/>
      <c r="K6" s="887"/>
      <c r="L6" s="887"/>
      <c r="M6" s="887"/>
      <c r="N6" s="887"/>
      <c r="O6" s="887"/>
      <c r="P6" s="887"/>
      <c r="Q6" s="887"/>
      <c r="R6" s="887"/>
    </row>
    <row r="7" spans="1:29" ht="43" thickBot="1" x14ac:dyDescent="0.25">
      <c r="A7" s="2617"/>
      <c r="B7" s="329" t="s">
        <v>2761</v>
      </c>
      <c r="C7" s="2645" t="s">
        <v>2762</v>
      </c>
      <c r="D7" s="2646"/>
      <c r="E7" s="2647"/>
      <c r="F7" s="2648" t="s">
        <v>2766</v>
      </c>
      <c r="G7" s="2649" t="s">
        <v>2767</v>
      </c>
      <c r="H7" s="887"/>
      <c r="I7" s="887"/>
      <c r="J7" s="887"/>
      <c r="K7" s="887"/>
      <c r="L7" s="887"/>
      <c r="M7" s="887"/>
      <c r="N7" s="887"/>
      <c r="O7" s="887"/>
      <c r="P7" s="887"/>
      <c r="Q7" s="887"/>
      <c r="R7" s="887"/>
    </row>
    <row r="8" spans="1:29" x14ac:dyDescent="0.2">
      <c r="A8" s="2617"/>
      <c r="B8" s="329" t="s">
        <v>2764</v>
      </c>
      <c r="C8" s="2645" t="s">
        <v>2765</v>
      </c>
      <c r="D8" s="2646"/>
      <c r="E8" s="2646"/>
      <c r="F8" s="2650"/>
      <c r="G8" s="2650"/>
      <c r="H8" s="887"/>
      <c r="I8" s="887"/>
      <c r="J8" s="887"/>
      <c r="K8" s="887"/>
      <c r="L8" s="887"/>
      <c r="M8" s="887"/>
      <c r="N8" s="887"/>
      <c r="O8" s="887"/>
      <c r="P8" s="887"/>
      <c r="Q8" s="887"/>
      <c r="R8" s="887"/>
    </row>
    <row r="9" spans="1:29" ht="28" x14ac:dyDescent="0.2">
      <c r="A9" s="2617"/>
      <c r="B9" s="329" t="s">
        <v>2768</v>
      </c>
      <c r="C9" s="2643" t="s">
        <v>2769</v>
      </c>
      <c r="D9" s="2640"/>
      <c r="E9" s="2646"/>
      <c r="F9" s="2650"/>
      <c r="G9" s="2650"/>
      <c r="H9" s="887"/>
      <c r="I9" s="887"/>
      <c r="J9" s="887"/>
      <c r="K9" s="887"/>
      <c r="L9" s="887"/>
      <c r="M9" s="887"/>
      <c r="N9" s="887"/>
      <c r="O9" s="887"/>
      <c r="P9" s="887"/>
      <c r="Q9" s="887"/>
      <c r="R9" s="887"/>
    </row>
    <row r="10" spans="1:29" s="2656" customFormat="1" ht="15" thickBot="1" x14ac:dyDescent="0.25">
      <c r="A10" s="2618"/>
      <c r="B10" s="2651" t="s">
        <v>2770</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x14ac:dyDescent="0.2">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x14ac:dyDescent="0.2">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 thickBot="1" x14ac:dyDescent="0.25">
      <c r="A13" s="2665" t="s">
        <v>2788</v>
      </c>
      <c r="B13" s="2659"/>
      <c r="C13" s="2659"/>
      <c r="D13" s="2657"/>
      <c r="E13" s="2659"/>
      <c r="F13" s="2659"/>
      <c r="G13" s="2659"/>
    </row>
    <row r="14" spans="1:29" ht="15" thickBot="1" x14ac:dyDescent="0.25">
      <c r="A14" s="2669"/>
      <c r="B14" s="2669"/>
      <c r="C14" s="2670" t="s">
        <v>2771</v>
      </c>
      <c r="D14" s="2640"/>
      <c r="E14" s="2671"/>
      <c r="F14" s="2671"/>
      <c r="G14" s="2635" t="s">
        <v>2772</v>
      </c>
    </row>
    <row r="15" spans="1:29" ht="52" x14ac:dyDescent="0.2">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9" x14ac:dyDescent="0.2">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9" x14ac:dyDescent="0.2">
      <c r="A17" s="2621"/>
      <c r="B17" s="2675" t="s">
        <v>2759</v>
      </c>
      <c r="C17" s="2676" t="str">
        <f>C5</f>
        <v>估价对象位于XX商圈，周边办公楼项目较多，入驻率高，办公集聚程度较好</v>
      </c>
      <c r="D17" s="2646"/>
      <c r="E17" s="2622"/>
      <c r="F17" s="2677" t="s">
        <v>2776</v>
      </c>
      <c r="G17" s="2679"/>
    </row>
    <row r="18" spans="1:18" ht="39" x14ac:dyDescent="0.2">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6" x14ac:dyDescent="0.2">
      <c r="A19" s="2621"/>
      <c r="B19" s="2677" t="s">
        <v>2777</v>
      </c>
      <c r="C19" s="2679"/>
      <c r="D19" s="2640"/>
      <c r="E19" s="2622"/>
      <c r="F19" s="329" t="s">
        <v>2761</v>
      </c>
      <c r="G19" s="2678" t="str">
        <f>G5</f>
        <v>估价对象所在区域公共配套设施齐备情况</v>
      </c>
    </row>
    <row r="20" spans="1:18" ht="26" x14ac:dyDescent="0.2">
      <c r="A20" s="2621"/>
      <c r="B20" s="2677" t="s">
        <v>2778</v>
      </c>
      <c r="C20" s="2676" t="str">
        <f>C9</f>
        <v>区域自然环境：；人文环境；综合评价环境状况一般</v>
      </c>
      <c r="D20" s="2646"/>
      <c r="E20" s="2622"/>
      <c r="F20" s="329" t="s">
        <v>2764</v>
      </c>
      <c r="G20" s="2678" t="str">
        <f>G6</f>
        <v>估价对象所在区域基础设施水平</v>
      </c>
    </row>
    <row r="21" spans="1:18" ht="26" x14ac:dyDescent="0.2">
      <c r="A21" s="2621"/>
      <c r="B21" s="329" t="s">
        <v>2761</v>
      </c>
      <c r="C21" s="2678" t="str">
        <f>C7</f>
        <v>估价对象所在区域公共配套设施齐备情况</v>
      </c>
      <c r="D21" s="2640"/>
      <c r="E21" s="2622"/>
      <c r="F21" s="2677" t="s">
        <v>2779</v>
      </c>
      <c r="G21" s="2680"/>
    </row>
    <row r="22" spans="1:18" ht="13.5" customHeight="1" x14ac:dyDescent="0.2">
      <c r="A22" s="2621"/>
      <c r="B22" s="329" t="s">
        <v>2764</v>
      </c>
      <c r="C22" s="2678" t="str">
        <f>C8</f>
        <v>估价对象所在区域基础设施水平</v>
      </c>
      <c r="D22" s="2640"/>
      <c r="E22" s="2622"/>
      <c r="F22" s="2677" t="s">
        <v>2770</v>
      </c>
      <c r="G22" s="2679"/>
    </row>
    <row r="23" spans="1:18" s="887" customFormat="1" ht="15" thickBot="1" x14ac:dyDescent="0.25">
      <c r="A23" s="2621"/>
      <c r="B23" s="2677" t="s">
        <v>2779</v>
      </c>
      <c r="C23" s="2680"/>
      <c r="D23" s="1877"/>
      <c r="E23" s="2623"/>
      <c r="F23" s="2681" t="s">
        <v>2780</v>
      </c>
      <c r="G23" s="2682"/>
      <c r="H23" s="2666"/>
      <c r="I23" s="2667"/>
      <c r="J23" s="2666"/>
      <c r="K23" s="2666"/>
      <c r="L23" s="2667"/>
      <c r="M23" s="2666"/>
      <c r="N23" s="2666"/>
      <c r="O23" s="2667"/>
      <c r="P23" s="2666"/>
      <c r="Q23" s="2666"/>
      <c r="R23" s="2668"/>
    </row>
    <row r="24" spans="1:18" s="887" customFormat="1" ht="15" thickBot="1" x14ac:dyDescent="0.25">
      <c r="A24" s="2624"/>
      <c r="B24" s="2681" t="s">
        <v>2781</v>
      </c>
      <c r="C24" s="2683">
        <f>C10</f>
        <v>0</v>
      </c>
      <c r="D24" s="1877"/>
      <c r="E24" s="2614"/>
      <c r="F24" s="2614"/>
      <c r="G24" s="2684"/>
      <c r="H24" s="2666"/>
      <c r="I24" s="2667"/>
      <c r="J24" s="2666"/>
      <c r="K24" s="2666"/>
      <c r="L24" s="2667"/>
      <c r="M24" s="2666"/>
      <c r="N24" s="2666"/>
      <c r="O24" s="2667"/>
      <c r="P24" s="2666"/>
      <c r="Q24" s="2666"/>
      <c r="R24" s="2668"/>
    </row>
    <row r="25" spans="1:18" s="887" customFormat="1" x14ac:dyDescent="0.2">
      <c r="B25" s="2666"/>
      <c r="C25" s="2666"/>
      <c r="D25" s="2666"/>
      <c r="H25" s="2666"/>
      <c r="I25" s="2667"/>
      <c r="J25" s="2666"/>
      <c r="K25" s="2666"/>
      <c r="L25" s="2667"/>
      <c r="M25" s="2666"/>
      <c r="N25" s="2666"/>
      <c r="O25" s="2667"/>
      <c r="P25" s="2666"/>
      <c r="Q25" s="2666"/>
      <c r="R25" s="2668"/>
    </row>
    <row r="26" spans="1:18" s="887" customFormat="1" x14ac:dyDescent="0.2">
      <c r="B26" s="2666"/>
      <c r="C26" s="2666"/>
      <c r="D26" s="2666"/>
      <c r="H26" s="2666"/>
      <c r="I26" s="2667"/>
      <c r="J26" s="2666"/>
      <c r="K26" s="2666"/>
      <c r="L26" s="2667"/>
      <c r="M26" s="2666"/>
      <c r="N26" s="2666"/>
      <c r="O26" s="2667"/>
      <c r="P26" s="2666"/>
      <c r="Q26" s="2666"/>
      <c r="R26" s="2668"/>
    </row>
    <row r="27" spans="1:18" s="887" customFormat="1" x14ac:dyDescent="0.2">
      <c r="B27" s="2666"/>
      <c r="C27" s="2666"/>
      <c r="D27" s="2666"/>
      <c r="H27" s="2666"/>
      <c r="I27" s="2667"/>
      <c r="J27" s="2666"/>
      <c r="K27" s="2666"/>
      <c r="L27" s="2667"/>
      <c r="M27" s="2666"/>
      <c r="N27" s="2666"/>
      <c r="O27" s="2667"/>
      <c r="P27" s="2666"/>
      <c r="Q27" s="2666"/>
      <c r="R27" s="2668"/>
    </row>
    <row r="28" spans="1:18" s="887" customFormat="1" x14ac:dyDescent="0.2">
      <c r="B28" s="2666"/>
      <c r="C28" s="2666"/>
      <c r="D28" s="2666"/>
      <c r="H28" s="2666"/>
      <c r="I28" s="2667"/>
      <c r="J28" s="2666"/>
      <c r="K28" s="2666"/>
      <c r="L28" s="2667"/>
      <c r="M28" s="2666"/>
      <c r="N28" s="2666"/>
      <c r="O28" s="2667"/>
      <c r="P28" s="2666"/>
      <c r="Q28" s="2666"/>
      <c r="R28" s="2668"/>
    </row>
    <row r="29" spans="1:18" s="887" customFormat="1" x14ac:dyDescent="0.2">
      <c r="B29" s="2666"/>
      <c r="C29" s="2666"/>
      <c r="D29" s="2666"/>
      <c r="H29" s="2666"/>
      <c r="I29" s="2667"/>
      <c r="J29" s="2666"/>
      <c r="K29" s="2666"/>
      <c r="L29" s="2667"/>
      <c r="M29" s="2666"/>
      <c r="N29" s="2666"/>
      <c r="O29" s="2667"/>
      <c r="P29" s="2666"/>
      <c r="Q29" s="2666"/>
      <c r="R29" s="2668"/>
    </row>
    <row r="30" spans="1:18" s="887" customFormat="1" x14ac:dyDescent="0.2">
      <c r="B30" s="2666"/>
      <c r="C30" s="2666"/>
      <c r="D30" s="2666"/>
      <c r="H30" s="2666"/>
      <c r="I30" s="2667"/>
      <c r="J30" s="2666"/>
      <c r="K30" s="2666"/>
      <c r="L30" s="2667"/>
      <c r="M30" s="2666"/>
      <c r="N30" s="2666"/>
      <c r="O30" s="2667"/>
      <c r="P30" s="2666"/>
      <c r="Q30" s="2666"/>
      <c r="R30" s="2668"/>
    </row>
    <row r="31" spans="1:18" s="887" customFormat="1" x14ac:dyDescent="0.2">
      <c r="B31" s="2666"/>
      <c r="C31" s="2666"/>
      <c r="D31" s="2666"/>
      <c r="H31" s="2666"/>
      <c r="I31" s="2667"/>
      <c r="J31" s="2666"/>
      <c r="K31" s="2666"/>
      <c r="L31" s="2667"/>
      <c r="M31" s="2666"/>
      <c r="N31" s="2666"/>
      <c r="O31" s="2667"/>
      <c r="P31" s="2666"/>
      <c r="Q31" s="2666"/>
      <c r="R31" s="2668"/>
    </row>
    <row r="32" spans="1:18" s="887" customFormat="1" x14ac:dyDescent="0.2">
      <c r="B32" s="2666"/>
      <c r="C32" s="2666"/>
      <c r="D32" s="2666"/>
      <c r="H32" s="2666"/>
      <c r="I32" s="2667"/>
      <c r="J32" s="2666"/>
      <c r="K32" s="2666"/>
      <c r="L32" s="2667"/>
      <c r="M32" s="2666"/>
      <c r="N32" s="2666"/>
      <c r="O32" s="2667"/>
      <c r="P32" s="2666"/>
      <c r="Q32" s="2666"/>
      <c r="R32" s="2668"/>
    </row>
    <row r="33" spans="2:18" s="887" customFormat="1" x14ac:dyDescent="0.2">
      <c r="B33" s="2666"/>
      <c r="C33" s="2666"/>
      <c r="D33" s="2666"/>
      <c r="H33" s="2666"/>
      <c r="I33" s="2667"/>
      <c r="J33" s="2666"/>
      <c r="K33" s="2666"/>
      <c r="L33" s="2667"/>
      <c r="M33" s="2666"/>
      <c r="N33" s="2666"/>
      <c r="O33" s="2667"/>
      <c r="P33" s="2666"/>
      <c r="Q33" s="2666"/>
      <c r="R33" s="2668"/>
    </row>
    <row r="34" spans="2:18" s="887" customFormat="1" x14ac:dyDescent="0.2">
      <c r="B34" s="2666"/>
      <c r="C34" s="2666"/>
      <c r="D34" s="2666"/>
      <c r="H34" s="2666"/>
      <c r="I34" s="2667"/>
      <c r="J34" s="2666"/>
      <c r="K34" s="2666"/>
      <c r="L34" s="2667"/>
      <c r="M34" s="2666"/>
      <c r="N34" s="2666"/>
      <c r="O34" s="2667"/>
      <c r="P34" s="2666"/>
      <c r="Q34" s="2666"/>
      <c r="R34" s="2668"/>
    </row>
    <row r="35" spans="2:18" s="887" customFormat="1" x14ac:dyDescent="0.2">
      <c r="B35" s="2666"/>
      <c r="C35" s="2666"/>
      <c r="D35" s="2666"/>
      <c r="H35" s="2666"/>
      <c r="I35" s="2667"/>
      <c r="J35" s="2666"/>
      <c r="K35" s="2666"/>
      <c r="L35" s="2667"/>
      <c r="M35" s="2666"/>
      <c r="N35" s="2666"/>
      <c r="O35" s="2667"/>
      <c r="P35" s="2666"/>
      <c r="Q35" s="2666"/>
      <c r="R35" s="2668"/>
    </row>
    <row r="36" spans="2:18" s="887" customFormat="1" x14ac:dyDescent="0.2">
      <c r="B36" s="2666"/>
      <c r="C36" s="2666"/>
      <c r="D36" s="2666"/>
      <c r="H36" s="2666"/>
      <c r="I36" s="2667"/>
      <c r="J36" s="2666"/>
      <c r="K36" s="2666"/>
      <c r="L36" s="2667"/>
      <c r="M36" s="2666"/>
      <c r="N36" s="2666"/>
      <c r="O36" s="2667"/>
      <c r="P36" s="2666"/>
      <c r="Q36" s="2666"/>
      <c r="R36" s="2668"/>
    </row>
    <row r="37" spans="2:18" s="887" customFormat="1" x14ac:dyDescent="0.2">
      <c r="B37" s="2666"/>
      <c r="C37" s="2666"/>
      <c r="D37" s="2666"/>
      <c r="H37" s="2666"/>
      <c r="I37" s="2667"/>
      <c r="J37" s="2666"/>
      <c r="K37" s="2666"/>
      <c r="L37" s="2667"/>
      <c r="M37" s="2666"/>
      <c r="N37" s="2666"/>
      <c r="O37" s="2667"/>
      <c r="P37" s="2666"/>
      <c r="Q37" s="2666"/>
      <c r="R37" s="2668"/>
    </row>
    <row r="38" spans="2:18" s="887" customFormat="1" x14ac:dyDescent="0.2">
      <c r="B38" s="2666"/>
      <c r="C38" s="2666"/>
      <c r="D38" s="2666"/>
      <c r="E38" s="2666"/>
      <c r="F38" s="2666"/>
      <c r="G38" s="2667"/>
      <c r="H38" s="2666"/>
      <c r="I38" s="2667"/>
      <c r="J38" s="2666"/>
      <c r="K38" s="2666"/>
      <c r="L38" s="2667"/>
      <c r="M38" s="2666"/>
      <c r="N38" s="2666"/>
      <c r="O38" s="2667"/>
      <c r="P38" s="2666"/>
      <c r="Q38" s="2666"/>
      <c r="R38" s="2668"/>
    </row>
    <row r="39" spans="2:18" s="887" customFormat="1" x14ac:dyDescent="0.2">
      <c r="B39" s="2666"/>
      <c r="C39" s="2666"/>
      <c r="D39" s="2666"/>
      <c r="E39" s="2666"/>
      <c r="F39" s="2666"/>
      <c r="G39" s="2667"/>
      <c r="H39" s="2666"/>
      <c r="I39" s="2667"/>
      <c r="J39" s="2666"/>
      <c r="K39" s="2666"/>
      <c r="L39" s="2667"/>
      <c r="M39" s="2666"/>
      <c r="N39" s="2666"/>
      <c r="O39" s="2667"/>
      <c r="P39" s="2666"/>
      <c r="Q39" s="2666"/>
      <c r="R39" s="2668"/>
    </row>
    <row r="40" spans="2:18" s="887" customFormat="1" x14ac:dyDescent="0.2">
      <c r="B40" s="2666"/>
      <c r="C40" s="2666"/>
      <c r="D40" s="2666"/>
      <c r="E40" s="2666"/>
      <c r="F40" s="2666"/>
      <c r="G40" s="2667"/>
      <c r="H40" s="2666"/>
      <c r="I40" s="2667"/>
      <c r="J40" s="2666"/>
      <c r="K40" s="2666"/>
      <c r="L40" s="2667"/>
      <c r="M40" s="2666"/>
      <c r="N40" s="2666"/>
      <c r="O40" s="2667"/>
      <c r="P40" s="2666"/>
      <c r="Q40" s="2666"/>
      <c r="R40" s="2668"/>
    </row>
    <row r="41" spans="2:18" s="887" customFormat="1" x14ac:dyDescent="0.2">
      <c r="B41" s="2666"/>
      <c r="C41" s="2666"/>
      <c r="D41" s="2666"/>
      <c r="E41" s="2666"/>
      <c r="F41" s="2666"/>
      <c r="G41" s="2667"/>
      <c r="H41" s="2666"/>
      <c r="I41" s="2667"/>
      <c r="J41" s="2666"/>
      <c r="K41" s="2666"/>
      <c r="L41" s="2667"/>
      <c r="M41" s="2666"/>
      <c r="N41" s="2666"/>
      <c r="O41" s="2667"/>
      <c r="P41" s="2666"/>
      <c r="Q41" s="2666"/>
      <c r="R41" s="2668"/>
    </row>
    <row r="42" spans="2:18" s="887" customFormat="1" x14ac:dyDescent="0.2">
      <c r="B42" s="2666"/>
      <c r="C42" s="2666"/>
      <c r="D42" s="2666"/>
      <c r="E42" s="2666"/>
      <c r="F42" s="2666"/>
      <c r="G42" s="2667"/>
      <c r="H42" s="2666"/>
      <c r="I42" s="2667"/>
      <c r="J42" s="2666"/>
      <c r="K42" s="2666"/>
      <c r="L42" s="2667"/>
      <c r="M42" s="2666"/>
      <c r="N42" s="2666"/>
      <c r="O42" s="2667"/>
      <c r="P42" s="2666"/>
      <c r="Q42" s="2666"/>
      <c r="R42" s="2668"/>
    </row>
    <row r="43" spans="2:18" s="887" customFormat="1" x14ac:dyDescent="0.2">
      <c r="B43" s="2666"/>
      <c r="C43" s="2666"/>
      <c r="D43" s="2666"/>
      <c r="E43" s="2666"/>
      <c r="F43" s="2666"/>
      <c r="G43" s="2667"/>
      <c r="H43" s="2666"/>
      <c r="I43" s="2667"/>
      <c r="J43" s="2666"/>
      <c r="K43" s="2666"/>
      <c r="L43" s="2667"/>
      <c r="M43" s="2666"/>
      <c r="N43" s="2666"/>
      <c r="O43" s="2667"/>
      <c r="P43" s="2666"/>
      <c r="Q43" s="2666"/>
      <c r="R43" s="2668"/>
    </row>
    <row r="44" spans="2:18" s="887" customFormat="1" x14ac:dyDescent="0.2">
      <c r="B44" s="2666"/>
      <c r="C44" s="2666"/>
      <c r="D44" s="2666"/>
      <c r="E44" s="2666"/>
      <c r="F44" s="2666"/>
      <c r="G44" s="2667"/>
      <c r="H44" s="2666"/>
      <c r="I44" s="2667"/>
      <c r="J44" s="2666"/>
      <c r="K44" s="2666"/>
      <c r="L44" s="2667"/>
      <c r="M44" s="2666"/>
      <c r="N44" s="2666"/>
      <c r="O44" s="2667"/>
      <c r="P44" s="2666"/>
      <c r="Q44" s="2666"/>
      <c r="R44" s="2668"/>
    </row>
    <row r="45" spans="2:18" s="887" customFormat="1" x14ac:dyDescent="0.2">
      <c r="B45" s="2666"/>
      <c r="C45" s="2666"/>
      <c r="D45" s="2666"/>
      <c r="E45" s="2666"/>
      <c r="F45" s="2666"/>
      <c r="G45" s="2667"/>
      <c r="H45" s="2666"/>
      <c r="I45" s="2667"/>
      <c r="J45" s="2666"/>
      <c r="K45" s="2666"/>
      <c r="L45" s="2667"/>
      <c r="M45" s="2666"/>
      <c r="N45" s="2666"/>
      <c r="O45" s="2667"/>
      <c r="P45" s="2666"/>
      <c r="Q45" s="2666"/>
      <c r="R45" s="2668"/>
    </row>
    <row r="46" spans="2:18" s="887" customFormat="1" x14ac:dyDescent="0.2">
      <c r="B46" s="2666"/>
      <c r="C46" s="2666"/>
      <c r="D46" s="2666"/>
      <c r="E46" s="2666"/>
      <c r="F46" s="2666"/>
      <c r="G46" s="2667"/>
      <c r="H46" s="2666"/>
      <c r="I46" s="2667"/>
      <c r="J46" s="2666"/>
      <c r="K46" s="2666"/>
      <c r="L46" s="2667"/>
      <c r="M46" s="2666"/>
      <c r="N46" s="2666"/>
      <c r="O46" s="2667"/>
      <c r="P46" s="2666"/>
      <c r="Q46" s="2666"/>
      <c r="R46" s="2668"/>
    </row>
    <row r="47" spans="2:18" s="887" customFormat="1" x14ac:dyDescent="0.2">
      <c r="B47" s="2666"/>
      <c r="C47" s="2666"/>
      <c r="D47" s="2666"/>
      <c r="E47" s="2666"/>
      <c r="F47" s="2666"/>
      <c r="G47" s="2667"/>
      <c r="H47" s="2666"/>
      <c r="I47" s="2667"/>
      <c r="J47" s="2666"/>
      <c r="K47" s="2666"/>
      <c r="L47" s="2667"/>
      <c r="M47" s="2666"/>
      <c r="N47" s="2666"/>
      <c r="O47" s="2667"/>
      <c r="P47" s="2666"/>
      <c r="Q47" s="2666"/>
      <c r="R47" s="2668"/>
    </row>
    <row r="48" spans="2:18" s="887" customFormat="1" x14ac:dyDescent="0.2">
      <c r="B48" s="2666"/>
      <c r="C48" s="2666"/>
      <c r="D48" s="2666"/>
      <c r="E48" s="2666"/>
      <c r="F48" s="2666"/>
      <c r="G48" s="2667"/>
      <c r="H48" s="2666"/>
      <c r="I48" s="2667"/>
      <c r="J48" s="2666"/>
      <c r="K48" s="2666"/>
      <c r="L48" s="2667"/>
      <c r="M48" s="2666"/>
      <c r="N48" s="2666"/>
      <c r="O48" s="2667"/>
      <c r="P48" s="2666"/>
      <c r="Q48" s="2666"/>
      <c r="R48" s="2668"/>
    </row>
    <row r="49" spans="2:18" s="887" customFormat="1" x14ac:dyDescent="0.2">
      <c r="B49" s="2666"/>
      <c r="C49" s="2666"/>
      <c r="D49" s="2666"/>
      <c r="E49" s="2666"/>
      <c r="F49" s="2666"/>
      <c r="G49" s="2667"/>
      <c r="H49" s="2666"/>
      <c r="I49" s="2667"/>
      <c r="J49" s="2666"/>
      <c r="K49" s="2666"/>
      <c r="L49" s="2667"/>
      <c r="M49" s="2666"/>
      <c r="N49" s="2666"/>
      <c r="O49" s="2667"/>
      <c r="P49" s="2666"/>
      <c r="Q49" s="2666"/>
      <c r="R49" s="2668"/>
    </row>
    <row r="50" spans="2:18" s="887" customFormat="1" x14ac:dyDescent="0.2">
      <c r="B50" s="2666"/>
      <c r="C50" s="2666"/>
      <c r="D50" s="2666"/>
      <c r="E50" s="2666"/>
      <c r="F50" s="2666"/>
      <c r="G50" s="2667"/>
      <c r="H50" s="2666"/>
      <c r="I50" s="2667"/>
      <c r="J50" s="2666"/>
      <c r="K50" s="2666"/>
      <c r="L50" s="2667"/>
      <c r="M50" s="2666"/>
      <c r="N50" s="2666"/>
      <c r="O50" s="2667"/>
      <c r="P50" s="2666"/>
      <c r="Q50" s="2666"/>
      <c r="R50" s="2668"/>
    </row>
    <row r="51" spans="2:18" s="887" customFormat="1" x14ac:dyDescent="0.2">
      <c r="B51" s="2666"/>
      <c r="C51" s="2666"/>
      <c r="D51" s="2666"/>
      <c r="E51" s="2666"/>
      <c r="F51" s="2666"/>
      <c r="G51" s="2667"/>
      <c r="H51" s="2666"/>
      <c r="I51" s="2667"/>
      <c r="J51" s="2666"/>
      <c r="K51" s="2666"/>
      <c r="L51" s="2667"/>
      <c r="M51" s="2666"/>
      <c r="N51" s="2666"/>
      <c r="O51" s="2667"/>
      <c r="P51" s="2666"/>
      <c r="Q51" s="2666"/>
      <c r="R51" s="2668"/>
    </row>
    <row r="52" spans="2:18" s="887" customFormat="1" x14ac:dyDescent="0.2">
      <c r="B52" s="2666"/>
      <c r="C52" s="2666"/>
      <c r="D52" s="2666"/>
      <c r="E52" s="2666"/>
      <c r="F52" s="2666"/>
      <c r="G52" s="2667"/>
      <c r="H52" s="2666"/>
      <c r="I52" s="2667"/>
      <c r="J52" s="2666"/>
      <c r="K52" s="2666"/>
      <c r="L52" s="2667"/>
      <c r="M52" s="2666"/>
      <c r="N52" s="2666"/>
      <c r="O52" s="2667"/>
      <c r="P52" s="2666"/>
      <c r="Q52" s="2666"/>
      <c r="R52" s="2668"/>
    </row>
    <row r="53" spans="2:18" s="887" customFormat="1" x14ac:dyDescent="0.2">
      <c r="B53" s="2666"/>
      <c r="C53" s="2666"/>
      <c r="D53" s="2666"/>
      <c r="E53" s="2666"/>
      <c r="F53" s="2666"/>
      <c r="G53" s="2667"/>
      <c r="H53" s="2666"/>
      <c r="I53" s="2667"/>
      <c r="J53" s="2666"/>
      <c r="K53" s="2666"/>
      <c r="L53" s="2667"/>
      <c r="M53" s="2666"/>
      <c r="N53" s="2666"/>
      <c r="O53" s="2667"/>
      <c r="P53" s="2666"/>
      <c r="Q53" s="2666"/>
      <c r="R53" s="2668"/>
    </row>
    <row r="54" spans="2:18" s="887" customFormat="1" x14ac:dyDescent="0.2">
      <c r="B54" s="2666"/>
      <c r="C54" s="2666"/>
      <c r="D54" s="2666"/>
      <c r="E54" s="2666"/>
      <c r="F54" s="2666"/>
      <c r="G54" s="2667"/>
      <c r="H54" s="2666"/>
      <c r="I54" s="2667"/>
      <c r="J54" s="2666"/>
      <c r="K54" s="2666"/>
      <c r="L54" s="2667"/>
      <c r="M54" s="2666"/>
      <c r="N54" s="2666"/>
      <c r="O54" s="2667"/>
      <c r="P54" s="2666"/>
      <c r="Q54" s="2666"/>
      <c r="R54" s="2668"/>
    </row>
    <row r="55" spans="2:18" s="887" customFormat="1" x14ac:dyDescent="0.2">
      <c r="B55" s="2666"/>
      <c r="C55" s="2666"/>
      <c r="D55" s="2666"/>
      <c r="E55" s="2666"/>
      <c r="F55" s="2666"/>
      <c r="G55" s="2667"/>
      <c r="H55" s="2666"/>
      <c r="I55" s="2667"/>
      <c r="J55" s="2666"/>
      <c r="K55" s="2666"/>
      <c r="L55" s="2667"/>
      <c r="M55" s="2666"/>
      <c r="N55" s="2666"/>
      <c r="O55" s="2667"/>
      <c r="P55" s="2666"/>
      <c r="Q55" s="2666"/>
      <c r="R55" s="2668"/>
    </row>
    <row r="56" spans="2:18" s="887" customFormat="1" x14ac:dyDescent="0.2">
      <c r="B56" s="2666"/>
      <c r="C56" s="2666"/>
      <c r="D56" s="2666"/>
      <c r="E56" s="2666"/>
      <c r="F56" s="2666"/>
      <c r="G56" s="2667"/>
      <c r="H56" s="2666"/>
      <c r="I56" s="2667"/>
      <c r="J56" s="2666"/>
      <c r="K56" s="2666"/>
      <c r="L56" s="2667"/>
      <c r="M56" s="2666"/>
      <c r="N56" s="2666"/>
      <c r="O56" s="2667"/>
      <c r="P56" s="2666"/>
      <c r="Q56" s="2666"/>
      <c r="R56" s="2668"/>
    </row>
    <row r="57" spans="2:18" s="887" customFormat="1" x14ac:dyDescent="0.2">
      <c r="B57" s="2666"/>
      <c r="C57" s="2666"/>
      <c r="D57" s="2666"/>
      <c r="E57" s="2666"/>
      <c r="F57" s="2666"/>
      <c r="G57" s="2667"/>
      <c r="H57" s="2666"/>
      <c r="I57" s="2667"/>
      <c r="J57" s="2666"/>
      <c r="K57" s="2666"/>
      <c r="L57" s="2667"/>
      <c r="M57" s="2666"/>
      <c r="N57" s="2666"/>
      <c r="O57" s="2667"/>
      <c r="P57" s="2666"/>
      <c r="Q57" s="2666"/>
      <c r="R57" s="2668"/>
    </row>
    <row r="58" spans="2:18" s="887" customFormat="1" x14ac:dyDescent="0.2">
      <c r="B58" s="2666"/>
      <c r="C58" s="2666"/>
      <c r="D58" s="2666"/>
      <c r="E58" s="2666"/>
      <c r="F58" s="2666"/>
      <c r="G58" s="2667"/>
      <c r="H58" s="2666"/>
      <c r="I58" s="2667"/>
      <c r="J58" s="2666"/>
      <c r="K58" s="2666"/>
      <c r="L58" s="2667"/>
      <c r="M58" s="2666"/>
      <c r="N58" s="2666"/>
      <c r="O58" s="2667"/>
      <c r="P58" s="2666"/>
      <c r="Q58" s="2666"/>
      <c r="R58" s="2668"/>
    </row>
    <row r="59" spans="2:18" s="887" customFormat="1" x14ac:dyDescent="0.2">
      <c r="B59" s="2666"/>
      <c r="C59" s="2666"/>
      <c r="D59" s="2666"/>
      <c r="E59" s="2666"/>
      <c r="F59" s="2666"/>
      <c r="G59" s="2667"/>
      <c r="H59" s="2666"/>
      <c r="I59" s="2667"/>
      <c r="J59" s="2666"/>
      <c r="K59" s="2666"/>
      <c r="L59" s="2667"/>
      <c r="M59" s="2666"/>
      <c r="N59" s="2666"/>
      <c r="O59" s="2667"/>
      <c r="P59" s="2666"/>
      <c r="Q59" s="2666"/>
      <c r="R59" s="2668"/>
    </row>
    <row r="60" spans="2:18" s="887" customFormat="1" x14ac:dyDescent="0.2">
      <c r="B60" s="2666"/>
      <c r="C60" s="2666"/>
      <c r="D60" s="2666"/>
      <c r="E60" s="2666"/>
      <c r="F60" s="2666"/>
      <c r="G60" s="2667"/>
      <c r="H60" s="2666"/>
      <c r="I60" s="2667"/>
      <c r="J60" s="2666"/>
      <c r="K60" s="2666"/>
      <c r="L60" s="2667"/>
      <c r="M60" s="2666"/>
      <c r="N60" s="2666"/>
      <c r="O60" s="2667"/>
      <c r="P60" s="2666"/>
      <c r="Q60" s="2666"/>
      <c r="R60" s="2668"/>
    </row>
    <row r="61" spans="2:18" s="887" customFormat="1" x14ac:dyDescent="0.2">
      <c r="B61" s="2666"/>
      <c r="C61" s="2666"/>
      <c r="D61" s="2666"/>
      <c r="E61" s="2666"/>
      <c r="F61" s="2666"/>
      <c r="G61" s="2667"/>
      <c r="H61" s="2666"/>
      <c r="I61" s="2667"/>
      <c r="J61" s="2666"/>
      <c r="K61" s="2666"/>
      <c r="L61" s="2667"/>
      <c r="M61" s="2666"/>
      <c r="N61" s="2666"/>
      <c r="O61" s="2667"/>
      <c r="P61" s="2666"/>
      <c r="Q61" s="2666"/>
      <c r="R61" s="2668"/>
    </row>
    <row r="62" spans="2:18" s="887" customFormat="1" x14ac:dyDescent="0.2">
      <c r="B62" s="2666"/>
      <c r="C62" s="2666"/>
      <c r="D62" s="2666"/>
      <c r="E62" s="2666"/>
      <c r="F62" s="2666"/>
      <c r="G62" s="2667"/>
      <c r="H62" s="2666"/>
      <c r="I62" s="2667"/>
      <c r="J62" s="2666"/>
      <c r="K62" s="2666"/>
      <c r="L62" s="2667"/>
      <c r="M62" s="2666"/>
      <c r="N62" s="2666"/>
      <c r="O62" s="2667"/>
      <c r="P62" s="2666"/>
      <c r="Q62" s="2666"/>
      <c r="R62" s="2668"/>
    </row>
    <row r="63" spans="2:18" s="887" customFormat="1" x14ac:dyDescent="0.2">
      <c r="B63" s="2666"/>
      <c r="C63" s="2666"/>
      <c r="D63" s="2666"/>
      <c r="E63" s="2666"/>
      <c r="F63" s="2666"/>
      <c r="G63" s="2667"/>
      <c r="H63" s="2666"/>
      <c r="I63" s="2667"/>
      <c r="J63" s="2666"/>
      <c r="K63" s="2666"/>
      <c r="L63" s="2667"/>
      <c r="M63" s="2666"/>
      <c r="N63" s="2666"/>
      <c r="O63" s="2667"/>
      <c r="P63" s="2666"/>
      <c r="Q63" s="2666"/>
      <c r="R63" s="2668"/>
    </row>
    <row r="64" spans="2:18" s="887" customFormat="1" x14ac:dyDescent="0.2">
      <c r="B64" s="2666"/>
      <c r="C64" s="2666"/>
      <c r="D64" s="2666"/>
      <c r="E64" s="2666"/>
      <c r="F64" s="2666"/>
      <c r="G64" s="2667"/>
      <c r="H64" s="2666"/>
      <c r="I64" s="2667"/>
      <c r="J64" s="2666"/>
      <c r="K64" s="2666"/>
      <c r="L64" s="2667"/>
      <c r="M64" s="2666"/>
      <c r="N64" s="2666"/>
      <c r="O64" s="2667"/>
      <c r="P64" s="2666"/>
      <c r="Q64" s="2666"/>
      <c r="R64" s="2668"/>
    </row>
    <row r="65" spans="2:18" s="887" customFormat="1" x14ac:dyDescent="0.2">
      <c r="B65" s="2666"/>
      <c r="C65" s="2666"/>
      <c r="D65" s="2666"/>
      <c r="E65" s="2666"/>
      <c r="F65" s="2666"/>
      <c r="G65" s="2667"/>
      <c r="H65" s="2666"/>
      <c r="I65" s="2667"/>
      <c r="J65" s="2666"/>
      <c r="K65" s="2666"/>
      <c r="L65" s="2667"/>
      <c r="M65" s="2666"/>
      <c r="N65" s="2666"/>
      <c r="O65" s="2667"/>
      <c r="P65" s="2666"/>
      <c r="Q65" s="2666"/>
      <c r="R65" s="2668"/>
    </row>
    <row r="66" spans="2:18" s="887" customFormat="1" x14ac:dyDescent="0.2">
      <c r="B66" s="2666"/>
      <c r="C66" s="2666"/>
      <c r="D66" s="2666"/>
      <c r="E66" s="2666"/>
      <c r="F66" s="2666"/>
      <c r="G66" s="2667"/>
      <c r="H66" s="2666"/>
      <c r="I66" s="2667"/>
      <c r="J66" s="2666"/>
      <c r="K66" s="2666"/>
      <c r="L66" s="2667"/>
      <c r="M66" s="2666"/>
      <c r="N66" s="2666"/>
      <c r="O66" s="2667"/>
      <c r="P66" s="2666"/>
      <c r="Q66" s="2666"/>
      <c r="R66" s="2668"/>
    </row>
    <row r="67" spans="2:18" s="887" customFormat="1" x14ac:dyDescent="0.2">
      <c r="B67" s="2666"/>
      <c r="C67" s="2666"/>
      <c r="D67" s="2666"/>
      <c r="E67" s="2666"/>
      <c r="F67" s="2666"/>
      <c r="G67" s="2667"/>
      <c r="H67" s="2666"/>
      <c r="I67" s="2667"/>
      <c r="J67" s="2666"/>
      <c r="K67" s="2666"/>
      <c r="L67" s="2667"/>
      <c r="M67" s="2666"/>
      <c r="N67" s="2666"/>
      <c r="O67" s="2667"/>
      <c r="P67" s="2666"/>
      <c r="Q67" s="2666"/>
      <c r="R67" s="2668"/>
    </row>
    <row r="68" spans="2:18" s="887" customFormat="1" x14ac:dyDescent="0.2">
      <c r="B68" s="2666"/>
      <c r="C68" s="2666"/>
      <c r="D68" s="2666"/>
      <c r="E68" s="2666"/>
      <c r="F68" s="2666"/>
      <c r="G68" s="2667"/>
      <c r="H68" s="2666"/>
      <c r="I68" s="2667"/>
      <c r="J68" s="2666"/>
      <c r="K68" s="2666"/>
      <c r="L68" s="2667"/>
      <c r="M68" s="2666"/>
      <c r="N68" s="2666"/>
      <c r="O68" s="2667"/>
      <c r="P68" s="2666"/>
      <c r="Q68" s="2666"/>
      <c r="R68" s="2668"/>
    </row>
    <row r="69" spans="2:18" s="887" customFormat="1" x14ac:dyDescent="0.2">
      <c r="B69" s="2666"/>
      <c r="C69" s="2666"/>
      <c r="D69" s="2666"/>
      <c r="E69" s="2666"/>
      <c r="F69" s="2666"/>
      <c r="G69" s="2667"/>
      <c r="H69" s="2666"/>
      <c r="I69" s="2667"/>
      <c r="J69" s="2666"/>
      <c r="K69" s="2666"/>
      <c r="L69" s="2667"/>
      <c r="M69" s="2666"/>
      <c r="N69" s="2666"/>
      <c r="O69" s="2667"/>
      <c r="P69" s="2666"/>
      <c r="Q69" s="2666"/>
      <c r="R69" s="2668"/>
    </row>
    <row r="70" spans="2:18" s="887" customFormat="1" x14ac:dyDescent="0.2">
      <c r="B70" s="2666"/>
      <c r="C70" s="2666"/>
      <c r="D70" s="2666"/>
      <c r="E70" s="2666"/>
      <c r="F70" s="2666"/>
      <c r="G70" s="2667"/>
      <c r="H70" s="2666"/>
      <c r="I70" s="2667"/>
      <c r="J70" s="2666"/>
      <c r="K70" s="2666"/>
      <c r="L70" s="2667"/>
      <c r="M70" s="2666"/>
      <c r="N70" s="2666"/>
      <c r="O70" s="2667"/>
      <c r="P70" s="2666"/>
      <c r="Q70" s="2666"/>
      <c r="R70" s="2668"/>
    </row>
    <row r="71" spans="2:18" s="887" customFormat="1" x14ac:dyDescent="0.2">
      <c r="B71" s="2666"/>
      <c r="C71" s="2666"/>
      <c r="D71" s="2666"/>
      <c r="E71" s="2666"/>
      <c r="F71" s="2666"/>
      <c r="G71" s="2667"/>
      <c r="H71" s="2666"/>
      <c r="I71" s="2667"/>
      <c r="J71" s="2666"/>
      <c r="K71" s="2666"/>
      <c r="L71" s="2667"/>
      <c r="M71" s="2666"/>
      <c r="N71" s="2666"/>
      <c r="O71" s="2667"/>
      <c r="P71" s="2666"/>
      <c r="Q71" s="2666"/>
      <c r="R71" s="2668"/>
    </row>
    <row r="72" spans="2:18" s="887" customFormat="1" x14ac:dyDescent="0.2">
      <c r="B72" s="2666"/>
      <c r="C72" s="2666"/>
      <c r="D72" s="2666"/>
      <c r="E72" s="2666"/>
      <c r="F72" s="2666"/>
      <c r="G72" s="2667"/>
      <c r="H72" s="2666"/>
      <c r="I72" s="2667"/>
      <c r="J72" s="2666"/>
      <c r="K72" s="2666"/>
      <c r="L72" s="2667"/>
      <c r="M72" s="2666"/>
      <c r="N72" s="2666"/>
      <c r="O72" s="2667"/>
      <c r="P72" s="2666"/>
      <c r="Q72" s="2666"/>
      <c r="R72" s="2668"/>
    </row>
    <row r="73" spans="2:18" s="887" customFormat="1" x14ac:dyDescent="0.2">
      <c r="B73" s="2666"/>
      <c r="C73" s="2666"/>
      <c r="D73" s="2666"/>
      <c r="E73" s="2666"/>
      <c r="F73" s="2666"/>
      <c r="G73" s="2667"/>
      <c r="H73" s="2666"/>
      <c r="I73" s="2667"/>
      <c r="J73" s="2666"/>
      <c r="K73" s="2666"/>
      <c r="L73" s="2667"/>
      <c r="M73" s="2666"/>
      <c r="N73" s="2666"/>
      <c r="O73" s="2667"/>
      <c r="P73" s="2666"/>
      <c r="Q73" s="2666"/>
      <c r="R73" s="2668"/>
    </row>
    <row r="74" spans="2:18" s="887" customFormat="1" x14ac:dyDescent="0.2">
      <c r="B74" s="2666"/>
      <c r="C74" s="2666"/>
      <c r="D74" s="2666"/>
      <c r="E74" s="2666"/>
      <c r="F74" s="2666"/>
      <c r="G74" s="2667"/>
      <c r="H74" s="2666"/>
      <c r="I74" s="2667"/>
      <c r="J74" s="2666"/>
      <c r="K74" s="2666"/>
      <c r="L74" s="2667"/>
      <c r="M74" s="2666"/>
      <c r="N74" s="2666"/>
      <c r="O74" s="2667"/>
      <c r="P74" s="2666"/>
      <c r="Q74" s="2666"/>
      <c r="R74" s="2668"/>
    </row>
    <row r="75" spans="2:18" s="887" customFormat="1" x14ac:dyDescent="0.2">
      <c r="B75" s="2666"/>
      <c r="C75" s="2666"/>
      <c r="D75" s="2666"/>
      <c r="E75" s="2666"/>
      <c r="F75" s="2666"/>
      <c r="G75" s="2667"/>
      <c r="H75" s="2666"/>
      <c r="I75" s="2667"/>
      <c r="J75" s="2666"/>
      <c r="K75" s="2666"/>
      <c r="L75" s="2667"/>
      <c r="M75" s="2666"/>
      <c r="N75" s="2666"/>
      <c r="O75" s="2667"/>
      <c r="P75" s="2666"/>
      <c r="Q75" s="2666"/>
      <c r="R75" s="2668"/>
    </row>
    <row r="76" spans="2:18" s="887" customFormat="1" x14ac:dyDescent="0.2">
      <c r="B76" s="2666"/>
      <c r="C76" s="2666"/>
      <c r="D76" s="2666"/>
      <c r="E76" s="2666"/>
      <c r="F76" s="2666"/>
      <c r="G76" s="2667"/>
      <c r="H76" s="2666"/>
      <c r="I76" s="2667"/>
      <c r="J76" s="2666"/>
      <c r="K76" s="2666"/>
      <c r="L76" s="2667"/>
      <c r="M76" s="2666"/>
      <c r="N76" s="2666"/>
      <c r="O76" s="2667"/>
      <c r="P76" s="2666"/>
      <c r="Q76" s="2666"/>
      <c r="R76" s="2668"/>
    </row>
    <row r="77" spans="2:18" s="887" customFormat="1" x14ac:dyDescent="0.2">
      <c r="B77" s="2666"/>
      <c r="C77" s="2666"/>
      <c r="D77" s="2666"/>
      <c r="E77" s="2666"/>
      <c r="F77" s="2666"/>
      <c r="G77" s="2667"/>
      <c r="H77" s="2666"/>
      <c r="I77" s="2667"/>
      <c r="J77" s="2666"/>
      <c r="K77" s="2666"/>
      <c r="L77" s="2667"/>
      <c r="M77" s="2666"/>
      <c r="N77" s="2666"/>
      <c r="O77" s="2667"/>
      <c r="P77" s="2666"/>
      <c r="Q77" s="2666"/>
      <c r="R77" s="2668"/>
    </row>
    <row r="78" spans="2:18" s="887" customFormat="1" x14ac:dyDescent="0.2">
      <c r="B78" s="2666"/>
      <c r="C78" s="2666"/>
      <c r="D78" s="2666"/>
      <c r="E78" s="2666"/>
      <c r="F78" s="2666"/>
      <c r="G78" s="2667"/>
      <c r="H78" s="2666"/>
      <c r="I78" s="2667"/>
      <c r="J78" s="2666"/>
      <c r="K78" s="2666"/>
      <c r="L78" s="2667"/>
      <c r="M78" s="2666"/>
      <c r="N78" s="2666"/>
      <c r="O78" s="2667"/>
      <c r="P78" s="2666"/>
      <c r="Q78" s="2666"/>
      <c r="R78" s="2668"/>
    </row>
    <row r="79" spans="2:18" s="887" customFormat="1" x14ac:dyDescent="0.2">
      <c r="B79" s="2666"/>
      <c r="C79" s="2666"/>
      <c r="D79" s="2666"/>
      <c r="E79" s="2666"/>
      <c r="F79" s="2666"/>
      <c r="G79" s="2667"/>
      <c r="H79" s="2666"/>
      <c r="I79" s="2667"/>
      <c r="J79" s="2666"/>
      <c r="K79" s="2666"/>
      <c r="L79" s="2667"/>
      <c r="M79" s="2666"/>
      <c r="N79" s="2666"/>
      <c r="O79" s="2667"/>
      <c r="P79" s="2666"/>
      <c r="Q79" s="2666"/>
      <c r="R79" s="2668"/>
    </row>
    <row r="80" spans="2:18" s="887" customFormat="1" x14ac:dyDescent="0.2">
      <c r="B80" s="2666"/>
      <c r="C80" s="2666"/>
      <c r="D80" s="2666"/>
      <c r="E80" s="2666"/>
      <c r="F80" s="2666"/>
      <c r="G80" s="2667"/>
      <c r="H80" s="2666"/>
      <c r="I80" s="2667"/>
      <c r="J80" s="2666"/>
      <c r="K80" s="2666"/>
      <c r="L80" s="2667"/>
      <c r="M80" s="2666"/>
      <c r="N80" s="2666"/>
      <c r="O80" s="2667"/>
      <c r="P80" s="2666"/>
      <c r="Q80" s="2666"/>
      <c r="R80" s="2668"/>
    </row>
    <row r="81" spans="2:18" s="887" customFormat="1" x14ac:dyDescent="0.2">
      <c r="B81" s="2666"/>
      <c r="C81" s="2666"/>
      <c r="D81" s="2666"/>
      <c r="E81" s="2666"/>
      <c r="F81" s="2666"/>
      <c r="G81" s="2667"/>
      <c r="H81" s="2666"/>
      <c r="I81" s="2667"/>
      <c r="J81" s="2666"/>
      <c r="K81" s="2666"/>
      <c r="L81" s="2667"/>
      <c r="M81" s="2666"/>
      <c r="N81" s="2666"/>
      <c r="O81" s="2667"/>
      <c r="P81" s="2666"/>
      <c r="Q81" s="2666"/>
      <c r="R81" s="2668"/>
    </row>
    <row r="82" spans="2:18" s="887" customFormat="1" x14ac:dyDescent="0.2">
      <c r="B82" s="2666"/>
      <c r="C82" s="2666"/>
      <c r="D82" s="2666"/>
      <c r="E82" s="2666"/>
      <c r="F82" s="2666"/>
      <c r="G82" s="2667"/>
      <c r="H82" s="2666"/>
      <c r="I82" s="2667"/>
      <c r="J82" s="2666"/>
      <c r="K82" s="2666"/>
      <c r="L82" s="2667"/>
      <c r="M82" s="2666"/>
      <c r="N82" s="2666"/>
      <c r="O82" s="2667"/>
      <c r="P82" s="2666"/>
      <c r="Q82" s="2666"/>
      <c r="R82" s="2668"/>
    </row>
    <row r="83" spans="2:18" s="887" customFormat="1" x14ac:dyDescent="0.2">
      <c r="B83" s="2666"/>
      <c r="C83" s="2666"/>
      <c r="D83" s="2666"/>
      <c r="E83" s="2666"/>
      <c r="F83" s="2666"/>
      <c r="G83" s="2667"/>
      <c r="H83" s="2666"/>
      <c r="I83" s="2667"/>
      <c r="J83" s="2666"/>
      <c r="K83" s="2666"/>
      <c r="L83" s="2667"/>
      <c r="M83" s="2666"/>
      <c r="N83" s="2666"/>
      <c r="O83" s="2667"/>
      <c r="P83" s="2666"/>
      <c r="Q83" s="2666"/>
      <c r="R83" s="2668"/>
    </row>
    <row r="84" spans="2:18" s="887" customFormat="1" x14ac:dyDescent="0.2">
      <c r="B84" s="2666"/>
      <c r="C84" s="2666"/>
      <c r="D84" s="2666"/>
      <c r="E84" s="2666"/>
      <c r="F84" s="2666"/>
      <c r="G84" s="2667"/>
      <c r="H84" s="2666"/>
      <c r="I84" s="2667"/>
      <c r="J84" s="2666"/>
      <c r="K84" s="2666"/>
      <c r="L84" s="2667"/>
      <c r="M84" s="2666"/>
      <c r="N84" s="2666"/>
      <c r="O84" s="2667"/>
      <c r="P84" s="2666"/>
      <c r="Q84" s="2666"/>
      <c r="R84" s="2668"/>
    </row>
    <row r="85" spans="2:18" s="887" customFormat="1" x14ac:dyDescent="0.2">
      <c r="B85" s="2666"/>
      <c r="C85" s="2666"/>
      <c r="D85" s="2666"/>
      <c r="E85" s="2666"/>
      <c r="F85" s="2666"/>
      <c r="G85" s="2667"/>
      <c r="H85" s="2666"/>
      <c r="I85" s="2667"/>
      <c r="J85" s="2666"/>
      <c r="K85" s="2666"/>
      <c r="L85" s="2667"/>
      <c r="M85" s="2666"/>
      <c r="N85" s="2666"/>
      <c r="O85" s="2667"/>
      <c r="P85" s="2666"/>
      <c r="Q85" s="2666"/>
      <c r="R85" s="2668"/>
    </row>
    <row r="86" spans="2:18" s="887" customFormat="1" x14ac:dyDescent="0.2">
      <c r="B86" s="2666"/>
      <c r="C86" s="2666"/>
      <c r="D86" s="2666"/>
      <c r="E86" s="2666"/>
      <c r="F86" s="2666"/>
      <c r="G86" s="2667"/>
      <c r="H86" s="2666"/>
      <c r="I86" s="2667"/>
      <c r="J86" s="2666"/>
      <c r="K86" s="2666"/>
      <c r="L86" s="2667"/>
      <c r="M86" s="2666"/>
      <c r="N86" s="2666"/>
      <c r="O86" s="2667"/>
      <c r="P86" s="2666"/>
      <c r="Q86" s="2666"/>
      <c r="R86" s="2668"/>
    </row>
    <row r="87" spans="2:18" s="887" customFormat="1" x14ac:dyDescent="0.2">
      <c r="B87" s="2666"/>
      <c r="C87" s="2666"/>
      <c r="D87" s="2666"/>
      <c r="E87" s="2666"/>
      <c r="F87" s="2666"/>
      <c r="G87" s="2667"/>
      <c r="H87" s="2666"/>
      <c r="I87" s="2667"/>
      <c r="J87" s="2666"/>
      <c r="K87" s="2666"/>
      <c r="L87" s="2667"/>
      <c r="M87" s="2666"/>
      <c r="N87" s="2666"/>
      <c r="O87" s="2667"/>
      <c r="P87" s="2666"/>
      <c r="Q87" s="2666"/>
      <c r="R87" s="2668"/>
    </row>
    <row r="88" spans="2:18" s="887" customFormat="1" x14ac:dyDescent="0.2">
      <c r="B88" s="2666"/>
      <c r="C88" s="2666"/>
      <c r="D88" s="2666"/>
      <c r="E88" s="2666"/>
      <c r="F88" s="2666"/>
      <c r="G88" s="2667"/>
      <c r="H88" s="2666"/>
      <c r="I88" s="2667"/>
      <c r="J88" s="2666"/>
      <c r="K88" s="2666"/>
      <c r="L88" s="2667"/>
      <c r="M88" s="2666"/>
      <c r="N88" s="2666"/>
      <c r="O88" s="2667"/>
      <c r="P88" s="2666"/>
      <c r="Q88" s="2666"/>
      <c r="R88" s="2668"/>
    </row>
    <row r="89" spans="2:18" s="887" customFormat="1" x14ac:dyDescent="0.2">
      <c r="B89" s="2666"/>
      <c r="C89" s="2666"/>
      <c r="D89" s="2666"/>
      <c r="E89" s="2666"/>
      <c r="F89" s="2666"/>
      <c r="G89" s="2667"/>
      <c r="H89" s="2666"/>
      <c r="I89" s="2667"/>
      <c r="J89" s="2666"/>
      <c r="K89" s="2666"/>
      <c r="L89" s="2667"/>
      <c r="M89" s="2666"/>
      <c r="N89" s="2666"/>
      <c r="O89" s="2667"/>
      <c r="P89" s="2666"/>
      <c r="Q89" s="2666"/>
      <c r="R89" s="2668"/>
    </row>
    <row r="90" spans="2:18" s="887" customFormat="1" x14ac:dyDescent="0.2">
      <c r="B90" s="2666"/>
      <c r="C90" s="2666"/>
      <c r="D90" s="2666"/>
      <c r="E90" s="2666"/>
      <c r="F90" s="2666"/>
      <c r="G90" s="2667"/>
      <c r="H90" s="2666"/>
      <c r="I90" s="2667"/>
      <c r="J90" s="2666"/>
      <c r="K90" s="2666"/>
      <c r="L90" s="2667"/>
      <c r="M90" s="2666"/>
      <c r="N90" s="2666"/>
      <c r="O90" s="2667"/>
      <c r="P90" s="2666"/>
      <c r="Q90" s="2666"/>
      <c r="R90" s="2668"/>
    </row>
    <row r="91" spans="2:18" s="887" customFormat="1" x14ac:dyDescent="0.2">
      <c r="B91" s="2666"/>
      <c r="C91" s="2666"/>
      <c r="D91" s="2666"/>
      <c r="E91" s="2666"/>
      <c r="F91" s="2666"/>
      <c r="G91" s="2667"/>
      <c r="H91" s="2666"/>
      <c r="I91" s="2667"/>
      <c r="J91" s="2666"/>
      <c r="K91" s="2666"/>
      <c r="L91" s="2667"/>
      <c r="M91" s="2666"/>
      <c r="N91" s="2666"/>
      <c r="O91" s="2667"/>
      <c r="P91" s="2666"/>
      <c r="Q91" s="2666"/>
      <c r="R91" s="2668"/>
    </row>
    <row r="92" spans="2:18" s="887" customFormat="1" x14ac:dyDescent="0.2">
      <c r="B92" s="2666"/>
      <c r="C92" s="2666"/>
      <c r="D92" s="2666"/>
      <c r="E92" s="2666"/>
      <c r="F92" s="2666"/>
      <c r="G92" s="2667"/>
      <c r="H92" s="2666"/>
      <c r="I92" s="2667"/>
      <c r="J92" s="2666"/>
      <c r="K92" s="2666"/>
      <c r="L92" s="2667"/>
      <c r="M92" s="2666"/>
      <c r="N92" s="2666"/>
      <c r="O92" s="2667"/>
      <c r="P92" s="2666"/>
      <c r="Q92" s="2666"/>
      <c r="R92" s="2668"/>
    </row>
    <row r="93" spans="2:18" s="887" customFormat="1" x14ac:dyDescent="0.2">
      <c r="B93" s="2666"/>
      <c r="C93" s="2666"/>
      <c r="D93" s="2666"/>
      <c r="E93" s="2666"/>
      <c r="F93" s="2666"/>
      <c r="G93" s="2667"/>
      <c r="H93" s="2666"/>
      <c r="I93" s="2667"/>
      <c r="J93" s="2666"/>
      <c r="K93" s="2666"/>
      <c r="L93" s="2667"/>
      <c r="M93" s="2666"/>
      <c r="N93" s="2666"/>
      <c r="O93" s="2667"/>
      <c r="P93" s="2666"/>
      <c r="Q93" s="2666"/>
      <c r="R93" s="2668"/>
    </row>
    <row r="94" spans="2:18" s="887" customFormat="1" x14ac:dyDescent="0.2">
      <c r="B94" s="2666"/>
      <c r="C94" s="2666"/>
      <c r="D94" s="2666"/>
      <c r="E94" s="2666"/>
      <c r="F94" s="2666"/>
      <c r="G94" s="2667"/>
      <c r="H94" s="2666"/>
      <c r="I94" s="2667"/>
      <c r="J94" s="2666"/>
      <c r="K94" s="2666"/>
      <c r="L94" s="2667"/>
      <c r="M94" s="2666"/>
      <c r="N94" s="2666"/>
      <c r="O94" s="2667"/>
      <c r="P94" s="2666"/>
      <c r="Q94" s="2666"/>
      <c r="R94" s="2668"/>
    </row>
    <row r="95" spans="2:18" s="887" customFormat="1" x14ac:dyDescent="0.2">
      <c r="B95" s="2666"/>
      <c r="C95" s="2666"/>
      <c r="D95" s="2666"/>
      <c r="E95" s="2666"/>
      <c r="F95" s="2666"/>
      <c r="G95" s="2667"/>
      <c r="H95" s="2666"/>
      <c r="I95" s="2667"/>
      <c r="J95" s="2666"/>
      <c r="K95" s="2666"/>
      <c r="L95" s="2667"/>
      <c r="M95" s="2666"/>
      <c r="N95" s="2666"/>
      <c r="O95" s="2667"/>
      <c r="P95" s="2666"/>
      <c r="Q95" s="2666"/>
      <c r="R95" s="2668"/>
    </row>
    <row r="96" spans="2:18" s="887" customFormat="1" x14ac:dyDescent="0.2">
      <c r="B96" s="2666"/>
      <c r="C96" s="2666"/>
      <c r="D96" s="2666"/>
      <c r="E96" s="2666"/>
      <c r="F96" s="2666"/>
      <c r="G96" s="2667"/>
      <c r="H96" s="2666"/>
      <c r="I96" s="2667"/>
      <c r="J96" s="2666"/>
      <c r="K96" s="2666"/>
      <c r="L96" s="2667"/>
      <c r="M96" s="2666"/>
      <c r="N96" s="2666"/>
      <c r="O96" s="2667"/>
      <c r="P96" s="2666"/>
      <c r="Q96" s="2666"/>
      <c r="R96" s="2668"/>
    </row>
    <row r="97" spans="2:18" s="887" customFormat="1" x14ac:dyDescent="0.2">
      <c r="B97" s="2666"/>
      <c r="C97" s="2666"/>
      <c r="D97" s="2666"/>
      <c r="E97" s="2666"/>
      <c r="F97" s="2666"/>
      <c r="G97" s="2667"/>
      <c r="H97" s="2666"/>
      <c r="I97" s="2667"/>
      <c r="J97" s="2666"/>
      <c r="K97" s="2666"/>
      <c r="L97" s="2667"/>
      <c r="M97" s="2666"/>
      <c r="N97" s="2666"/>
      <c r="O97" s="2667"/>
      <c r="P97" s="2666"/>
      <c r="Q97" s="2666"/>
      <c r="R97" s="2668"/>
    </row>
    <row r="98" spans="2:18" s="887" customFormat="1" x14ac:dyDescent="0.2">
      <c r="B98" s="2666"/>
      <c r="C98" s="2666"/>
      <c r="D98" s="2666"/>
      <c r="E98" s="2666"/>
      <c r="F98" s="2666"/>
      <c r="G98" s="2667"/>
      <c r="H98" s="2666"/>
      <c r="I98" s="2667"/>
      <c r="J98" s="2666"/>
      <c r="K98" s="2666"/>
      <c r="L98" s="2667"/>
      <c r="M98" s="2666"/>
      <c r="N98" s="2666"/>
      <c r="O98" s="2667"/>
      <c r="P98" s="2666"/>
      <c r="Q98" s="2666"/>
      <c r="R98" s="2668"/>
    </row>
    <row r="99" spans="2:18" s="887" customFormat="1" x14ac:dyDescent="0.2">
      <c r="B99" s="2666"/>
      <c r="C99" s="2666"/>
      <c r="D99" s="2666"/>
      <c r="E99" s="2666"/>
      <c r="F99" s="2666"/>
      <c r="G99" s="2667"/>
      <c r="H99" s="2666"/>
      <c r="I99" s="2667"/>
      <c r="J99" s="2666"/>
      <c r="K99" s="2666"/>
      <c r="L99" s="2667"/>
      <c r="M99" s="2666"/>
      <c r="N99" s="2666"/>
      <c r="O99" s="2667"/>
      <c r="P99" s="2666"/>
      <c r="Q99" s="2666"/>
      <c r="R99" s="2668"/>
    </row>
    <row r="100" spans="2:18" s="887" customFormat="1" x14ac:dyDescent="0.2">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x14ac:dyDescent="0.2">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x14ac:dyDescent="0.2">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x14ac:dyDescent="0.2">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x14ac:dyDescent="0.2">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x14ac:dyDescent="0.2">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x14ac:dyDescent="0.2">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x14ac:dyDescent="0.2">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x14ac:dyDescent="0.2">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x14ac:dyDescent="0.2">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x14ac:dyDescent="0.2">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x14ac:dyDescent="0.2">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x14ac:dyDescent="0.2">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x14ac:dyDescent="0.2">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x14ac:dyDescent="0.2">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x14ac:dyDescent="0.2">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x14ac:dyDescent="0.2">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x14ac:dyDescent="0.2">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x14ac:dyDescent="0.2">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x14ac:dyDescent="0.2">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x14ac:dyDescent="0.2">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x14ac:dyDescent="0.2">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x14ac:dyDescent="0.2">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x14ac:dyDescent="0.2">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x14ac:dyDescent="0.2">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x14ac:dyDescent="0.2">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x14ac:dyDescent="0.2">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x14ac:dyDescent="0.2">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x14ac:dyDescent="0.2">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x14ac:dyDescent="0.2">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x14ac:dyDescent="0.2">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x14ac:dyDescent="0.2">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x14ac:dyDescent="0.2">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x14ac:dyDescent="0.2">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x14ac:dyDescent="0.2">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x14ac:dyDescent="0.2">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x14ac:dyDescent="0.2">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x14ac:dyDescent="0.2">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x14ac:dyDescent="0.2">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x14ac:dyDescent="0.2">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x14ac:dyDescent="0.2">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x14ac:dyDescent="0.2">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x14ac:dyDescent="0.2">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x14ac:dyDescent="0.2">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x14ac:dyDescent="0.2">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x14ac:dyDescent="0.2">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x14ac:dyDescent="0.2">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x14ac:dyDescent="0.2">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x14ac:dyDescent="0.2">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x14ac:dyDescent="0.2">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x14ac:dyDescent="0.2">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x14ac:dyDescent="0.2">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x14ac:dyDescent="0.2">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x14ac:dyDescent="0.2">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x14ac:dyDescent="0.2">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x14ac:dyDescent="0.2">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x14ac:dyDescent="0.2">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x14ac:dyDescent="0.2">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x14ac:dyDescent="0.2">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x14ac:dyDescent="0.2">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x14ac:dyDescent="0.2">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x14ac:dyDescent="0.2">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x14ac:dyDescent="0.2">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x14ac:dyDescent="0.2">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x14ac:dyDescent="0.2">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x14ac:dyDescent="0.2">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x14ac:dyDescent="0.2">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x14ac:dyDescent="0.2">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x14ac:dyDescent="0.2">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x14ac:dyDescent="0.2">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x14ac:dyDescent="0.2">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x14ac:dyDescent="0.2">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x14ac:dyDescent="0.2">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x14ac:dyDescent="0.2">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x14ac:dyDescent="0.2">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x14ac:dyDescent="0.2">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x14ac:dyDescent="0.2">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x14ac:dyDescent="0.2">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x14ac:dyDescent="0.2">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x14ac:dyDescent="0.2">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x14ac:dyDescent="0.2">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x14ac:dyDescent="0.2">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x14ac:dyDescent="0.2">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x14ac:dyDescent="0.2">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x14ac:dyDescent="0.2">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x14ac:dyDescent="0.2">
      <c r="B185" s="2666"/>
      <c r="C185" s="2666"/>
      <c r="D185" s="2666"/>
      <c r="E185" s="2666"/>
      <c r="F185" s="2666"/>
      <c r="G185" s="2667"/>
      <c r="H185" s="2666"/>
      <c r="I185" s="2667"/>
      <c r="J185" s="2666"/>
      <c r="K185" s="2666"/>
      <c r="L185" s="2667"/>
      <c r="M185" s="2666"/>
      <c r="N185" s="2666"/>
      <c r="O185" s="2667"/>
      <c r="P185" s="2666"/>
      <c r="Q185" s="2666"/>
      <c r="R185" s="2668"/>
    </row>
    <row r="186" spans="1:18" x14ac:dyDescent="0.2">
      <c r="A186" s="887"/>
      <c r="B186" s="2666"/>
      <c r="C186" s="2666"/>
      <c r="E186" s="2666"/>
      <c r="F186" s="2666"/>
      <c r="G186" s="2667"/>
    </row>
    <row r="187" spans="1:18" x14ac:dyDescent="0.2">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C4:F9"/>
  <sheetViews>
    <sheetView workbookViewId="0">
      <selection activeCell="N35" sqref="N35"/>
    </sheetView>
  </sheetViews>
  <sheetFormatPr baseColWidth="10" defaultColWidth="8.83203125" defaultRowHeight="15" x14ac:dyDescent="0.2"/>
  <cols>
    <col min="4" max="4" width="7.6640625" customWidth="1"/>
    <col min="5" max="5" width="24.83203125" customWidth="1"/>
    <col min="6" max="6" width="12.6640625" customWidth="1"/>
  </cols>
  <sheetData>
    <row r="4" spans="3:6" x14ac:dyDescent="0.2">
      <c r="C4" s="3230" t="s">
        <v>3222</v>
      </c>
      <c r="D4" s="3230" t="s">
        <v>4482</v>
      </c>
      <c r="E4" s="3230" t="s">
        <v>4485</v>
      </c>
    </row>
    <row r="5" spans="3:6" x14ac:dyDescent="0.2">
      <c r="D5" s="3230" t="s">
        <v>4481</v>
      </c>
      <c r="E5" s="3230" t="s">
        <v>4483</v>
      </c>
      <c r="F5" s="3230" t="s">
        <v>4486</v>
      </c>
    </row>
    <row r="6" spans="3:6" x14ac:dyDescent="0.2">
      <c r="E6" s="3230" t="s">
        <v>4484</v>
      </c>
      <c r="F6" s="3230" t="s">
        <v>4487</v>
      </c>
    </row>
    <row r="7" spans="3:6" x14ac:dyDescent="0.2">
      <c r="C7" s="3230"/>
      <c r="D7" s="3230"/>
      <c r="E7" s="3230"/>
    </row>
    <row r="8" spans="3:6" x14ac:dyDescent="0.2">
      <c r="D8" s="3230"/>
      <c r="E8" s="3230"/>
    </row>
    <row r="9" spans="3:6" x14ac:dyDescent="0.2">
      <c r="E9" s="3230"/>
    </row>
  </sheetData>
  <phoneticPr fontId="140"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G25" sqref="G25"/>
    </sheetView>
  </sheetViews>
  <sheetFormatPr baseColWidth="10" defaultColWidth="9" defaultRowHeight="15" x14ac:dyDescent="0.2"/>
  <cols>
    <col min="1" max="1" width="13.5" style="1691" customWidth="1"/>
    <col min="2" max="2" width="23.1640625" style="1642" customWidth="1"/>
    <col min="3" max="3" width="13" style="1686" customWidth="1"/>
    <col min="4" max="4" width="5.6640625" style="1683" customWidth="1"/>
    <col min="5" max="5" width="7.1640625" style="1683" customWidth="1"/>
    <col min="6" max="6" width="10.6640625" style="1683" customWidth="1"/>
    <col min="7" max="7" width="7.5" style="1683" customWidth="1"/>
    <col min="8" max="8" width="9" style="1686" customWidth="1"/>
    <col min="9" max="9" width="11.6640625" style="1686" customWidth="1"/>
    <col min="10" max="10" width="9" style="1686" customWidth="1"/>
    <col min="11" max="19" width="9" style="1683" customWidth="1"/>
    <col min="20" max="23" width="9" style="1686" customWidth="1"/>
    <col min="24" max="24" width="21.1640625" style="1642" customWidth="1"/>
    <col min="25" max="16384" width="9" style="1642"/>
  </cols>
  <sheetData>
    <row r="1" spans="1:23" s="1680" customFormat="1" ht="30" x14ac:dyDescent="0.2">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x14ac:dyDescent="0.2">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x14ac:dyDescent="0.2">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x14ac:dyDescent="0.2">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x14ac:dyDescent="0.2">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x14ac:dyDescent="0.2">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x14ac:dyDescent="0.2">
      <c r="A7" s="1681" t="s">
        <v>1466</v>
      </c>
      <c r="B7" s="1684" t="s">
        <v>875</v>
      </c>
      <c r="C7" s="1682" t="s">
        <v>31</v>
      </c>
      <c r="F7" s="1683" t="s">
        <v>1467</v>
      </c>
      <c r="H7" s="1683" t="s">
        <v>1468</v>
      </c>
      <c r="I7" s="1683" t="s">
        <v>1469</v>
      </c>
    </row>
    <row r="8" spans="1:23" x14ac:dyDescent="0.2">
      <c r="A8" s="1681" t="s">
        <v>1470</v>
      </c>
      <c r="B8" s="1681" t="s">
        <v>1471</v>
      </c>
      <c r="C8" s="1682" t="s">
        <v>583</v>
      </c>
      <c r="F8" s="1683" t="s">
        <v>1472</v>
      </c>
      <c r="H8" s="1683"/>
      <c r="I8" s="1683" t="s">
        <v>1473</v>
      </c>
    </row>
    <row r="9" spans="1:23" x14ac:dyDescent="0.2">
      <c r="A9" s="1681" t="s">
        <v>1474</v>
      </c>
      <c r="B9" s="1681" t="s">
        <v>1475</v>
      </c>
      <c r="C9" s="1682" t="s">
        <v>584</v>
      </c>
      <c r="F9" s="1683" t="s">
        <v>1476</v>
      </c>
      <c r="H9" s="1683"/>
    </row>
    <row r="10" spans="1:23" x14ac:dyDescent="0.2">
      <c r="A10" s="1681" t="s">
        <v>1477</v>
      </c>
      <c r="B10" s="1681" t="s">
        <v>1478</v>
      </c>
      <c r="C10" s="1682" t="s">
        <v>585</v>
      </c>
      <c r="F10" s="1683" t="s">
        <v>16</v>
      </c>
    </row>
    <row r="11" spans="1:23" x14ac:dyDescent="0.2">
      <c r="A11" s="1681" t="s">
        <v>1479</v>
      </c>
      <c r="B11" s="1681" t="s">
        <v>1480</v>
      </c>
      <c r="C11" s="1682" t="s">
        <v>586</v>
      </c>
    </row>
    <row r="12" spans="1:23" x14ac:dyDescent="0.2">
      <c r="A12" s="1681" t="s">
        <v>1481</v>
      </c>
      <c r="B12" s="1681" t="s">
        <v>1482</v>
      </c>
      <c r="C12" s="1682" t="s">
        <v>587</v>
      </c>
    </row>
    <row r="13" spans="1:23" x14ac:dyDescent="0.2">
      <c r="A13" s="1681" t="s">
        <v>1483</v>
      </c>
      <c r="B13" s="1681" t="s">
        <v>1484</v>
      </c>
      <c r="C13" s="1682" t="s">
        <v>588</v>
      </c>
    </row>
    <row r="14" spans="1:23" x14ac:dyDescent="0.2">
      <c r="A14" s="1681" t="s">
        <v>1485</v>
      </c>
      <c r="B14" s="1681" t="s">
        <v>1486</v>
      </c>
      <c r="C14" s="1683" t="s">
        <v>16</v>
      </c>
    </row>
    <row r="15" spans="1:23" x14ac:dyDescent="0.2">
      <c r="A15" s="1681" t="s">
        <v>1487</v>
      </c>
      <c r="B15" s="1681" t="s">
        <v>1488</v>
      </c>
      <c r="C15" s="1682"/>
    </row>
    <row r="16" spans="1:23" x14ac:dyDescent="0.2">
      <c r="A16" s="1681" t="s">
        <v>1489</v>
      </c>
      <c r="B16" s="1681" t="s">
        <v>576</v>
      </c>
      <c r="C16" s="1682"/>
    </row>
    <row r="17" spans="1:3" x14ac:dyDescent="0.2">
      <c r="A17" s="1681" t="s">
        <v>1490</v>
      </c>
      <c r="B17" s="1681" t="s">
        <v>2794</v>
      </c>
      <c r="C17" s="1682"/>
    </row>
    <row r="18" spans="1:3" x14ac:dyDescent="0.2">
      <c r="A18" s="1681" t="s">
        <v>1491</v>
      </c>
      <c r="B18" s="1681" t="s">
        <v>2939</v>
      </c>
      <c r="C18" s="1682"/>
    </row>
    <row r="19" spans="1:3" x14ac:dyDescent="0.2">
      <c r="A19" s="1681" t="s">
        <v>1492</v>
      </c>
      <c r="B19" s="3247" t="s">
        <v>4488</v>
      </c>
      <c r="C19" s="1682"/>
    </row>
    <row r="20" spans="1:3" x14ac:dyDescent="0.2">
      <c r="A20" s="1681" t="s">
        <v>1493</v>
      </c>
      <c r="B20" s="3247" t="s">
        <v>4489</v>
      </c>
      <c r="C20" s="1682"/>
    </row>
    <row r="21" spans="1:3" x14ac:dyDescent="0.2">
      <c r="A21" s="1681" t="s">
        <v>1494</v>
      </c>
      <c r="B21" s="3247" t="s">
        <v>4490</v>
      </c>
      <c r="C21" s="1682"/>
    </row>
    <row r="22" spans="1:3" x14ac:dyDescent="0.2">
      <c r="A22" s="1681" t="s">
        <v>1495</v>
      </c>
      <c r="B22" s="3247" t="s">
        <v>4491</v>
      </c>
      <c r="C22" s="1682"/>
    </row>
    <row r="23" spans="1:3" x14ac:dyDescent="0.2">
      <c r="A23" s="1681" t="s">
        <v>1496</v>
      </c>
      <c r="B23" s="1681" t="s">
        <v>577</v>
      </c>
      <c r="C23" s="1682"/>
    </row>
    <row r="24" spans="1:3" x14ac:dyDescent="0.2">
      <c r="A24" s="1681" t="s">
        <v>1497</v>
      </c>
      <c r="B24" s="1681" t="s">
        <v>577</v>
      </c>
      <c r="C24" s="1682"/>
    </row>
    <row r="25" spans="1:3" x14ac:dyDescent="0.2">
      <c r="A25" s="1681" t="s">
        <v>1498</v>
      </c>
      <c r="B25" s="1681" t="s">
        <v>577</v>
      </c>
      <c r="C25" s="1682"/>
    </row>
    <row r="26" spans="1:3" x14ac:dyDescent="0.2">
      <c r="A26" s="1681" t="s">
        <v>1499</v>
      </c>
      <c r="B26" s="1681" t="s">
        <v>577</v>
      </c>
      <c r="C26" s="1682"/>
    </row>
    <row r="27" spans="1:3" x14ac:dyDescent="0.2">
      <c r="A27" s="1681" t="s">
        <v>577</v>
      </c>
      <c r="B27" s="1681" t="s">
        <v>577</v>
      </c>
      <c r="C27" s="1682"/>
    </row>
    <row r="28" spans="1:3" x14ac:dyDescent="0.2">
      <c r="A28" s="1681" t="s">
        <v>577</v>
      </c>
      <c r="B28" s="1681" t="s">
        <v>577</v>
      </c>
      <c r="C28" s="1682"/>
    </row>
    <row r="29" spans="1:3" x14ac:dyDescent="0.2">
      <c r="A29" s="1681" t="s">
        <v>577</v>
      </c>
      <c r="B29" s="1681" t="s">
        <v>577</v>
      </c>
      <c r="C29" s="1682"/>
    </row>
    <row r="30" spans="1:3" x14ac:dyDescent="0.2">
      <c r="A30" s="1681" t="s">
        <v>577</v>
      </c>
      <c r="B30" s="1681" t="s">
        <v>577</v>
      </c>
      <c r="C30" s="1682"/>
    </row>
    <row r="31" spans="1:3" x14ac:dyDescent="0.2">
      <c r="A31" s="1681" t="s">
        <v>577</v>
      </c>
      <c r="B31" s="1681" t="s">
        <v>577</v>
      </c>
      <c r="C31" s="1682"/>
    </row>
    <row r="32" spans="1:3" x14ac:dyDescent="0.2">
      <c r="A32" s="1681" t="s">
        <v>577</v>
      </c>
      <c r="B32" s="1681" t="s">
        <v>577</v>
      </c>
      <c r="C32" s="1682"/>
    </row>
    <row r="33" spans="1:3" x14ac:dyDescent="0.2">
      <c r="A33" s="1681" t="s">
        <v>577</v>
      </c>
      <c r="B33" s="1681" t="s">
        <v>577</v>
      </c>
      <c r="C33" s="1682"/>
    </row>
    <row r="34" spans="1:3" x14ac:dyDescent="0.2">
      <c r="A34" s="1681" t="s">
        <v>577</v>
      </c>
      <c r="B34" s="1681" t="s">
        <v>577</v>
      </c>
      <c r="C34" s="1682"/>
    </row>
    <row r="35" spans="1:3" x14ac:dyDescent="0.2">
      <c r="A35" s="1681" t="s">
        <v>577</v>
      </c>
      <c r="B35" s="1681" t="s">
        <v>577</v>
      </c>
      <c r="C35" s="1682"/>
    </row>
    <row r="36" spans="1:3" x14ac:dyDescent="0.2">
      <c r="A36" s="1681" t="s">
        <v>577</v>
      </c>
      <c r="B36" s="1681" t="s">
        <v>577</v>
      </c>
      <c r="C36" s="1682"/>
    </row>
    <row r="37" spans="1:3" x14ac:dyDescent="0.2">
      <c r="A37" s="1681" t="s">
        <v>577</v>
      </c>
      <c r="B37" s="1681" t="s">
        <v>577</v>
      </c>
      <c r="C37" s="1682"/>
    </row>
    <row r="38" spans="1:3" x14ac:dyDescent="0.2">
      <c r="A38" s="1681" t="s">
        <v>577</v>
      </c>
      <c r="B38" s="1681" t="s">
        <v>577</v>
      </c>
      <c r="C38" s="1682"/>
    </row>
    <row r="39" spans="1:3" x14ac:dyDescent="0.2">
      <c r="A39" s="1681" t="s">
        <v>577</v>
      </c>
      <c r="B39" s="1681" t="s">
        <v>577</v>
      </c>
      <c r="C39" s="1682"/>
    </row>
    <row r="40" spans="1:3" x14ac:dyDescent="0.2">
      <c r="A40" s="1681" t="s">
        <v>577</v>
      </c>
      <c r="B40" s="1681" t="s">
        <v>577</v>
      </c>
      <c r="C40" s="1682"/>
    </row>
    <row r="41" spans="1:3" x14ac:dyDescent="0.2">
      <c r="A41" s="1681" t="s">
        <v>577</v>
      </c>
      <c r="B41" s="1681" t="s">
        <v>577</v>
      </c>
      <c r="C41" s="1682"/>
    </row>
    <row r="42" spans="1:3" x14ac:dyDescent="0.2">
      <c r="A42" s="1681" t="s">
        <v>577</v>
      </c>
      <c r="B42" s="1681" t="s">
        <v>577</v>
      </c>
      <c r="C42" s="1682"/>
    </row>
    <row r="43" spans="1:3" x14ac:dyDescent="0.2">
      <c r="A43" s="1681" t="s">
        <v>577</v>
      </c>
      <c r="B43" s="1681" t="s">
        <v>577</v>
      </c>
      <c r="C43" s="1682"/>
    </row>
    <row r="44" spans="1:3" x14ac:dyDescent="0.2">
      <c r="A44" s="1681" t="s">
        <v>577</v>
      </c>
      <c r="B44" s="1681" t="s">
        <v>577</v>
      </c>
      <c r="C44" s="1682"/>
    </row>
    <row r="45" spans="1:3" x14ac:dyDescent="0.2">
      <c r="A45" s="1681" t="s">
        <v>577</v>
      </c>
      <c r="B45" s="1681" t="s">
        <v>577</v>
      </c>
      <c r="C45" s="1682"/>
    </row>
    <row r="46" spans="1:3" x14ac:dyDescent="0.2">
      <c r="A46" s="1681" t="s">
        <v>577</v>
      </c>
      <c r="B46" s="1681" t="s">
        <v>577</v>
      </c>
      <c r="C46" s="1682"/>
    </row>
    <row r="47" spans="1:3" x14ac:dyDescent="0.2">
      <c r="A47" s="1681" t="s">
        <v>577</v>
      </c>
      <c r="B47" s="1681" t="s">
        <v>577</v>
      </c>
      <c r="C47" s="1682"/>
    </row>
    <row r="48" spans="1:3" x14ac:dyDescent="0.2">
      <c r="A48" s="1681" t="s">
        <v>577</v>
      </c>
      <c r="B48" s="1681" t="s">
        <v>577</v>
      </c>
      <c r="C48" s="1682"/>
    </row>
    <row r="49" spans="1:4" x14ac:dyDescent="0.2">
      <c r="A49" s="1681" t="s">
        <v>577</v>
      </c>
      <c r="B49" s="1681" t="s">
        <v>577</v>
      </c>
      <c r="C49" s="1682"/>
    </row>
    <row r="50" spans="1:4" x14ac:dyDescent="0.2">
      <c r="A50" s="1681" t="s">
        <v>577</v>
      </c>
      <c r="B50" s="1681" t="s">
        <v>577</v>
      </c>
      <c r="C50" s="1682"/>
    </row>
    <row r="51" spans="1:4" x14ac:dyDescent="0.2">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x14ac:dyDescent="0.2">
      <c r="A52" s="1688" t="s">
        <v>645</v>
      </c>
      <c r="B52" s="1688" t="s">
        <v>646</v>
      </c>
      <c r="C52" s="1686" t="s">
        <v>647</v>
      </c>
      <c r="D52" s="1686" t="s">
        <v>648</v>
      </c>
    </row>
    <row r="53" spans="1:4" x14ac:dyDescent="0.2">
      <c r="A53" s="3818"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x14ac:dyDescent="0.2">
      <c r="A54" s="3818"/>
      <c r="B54" s="1689" t="s">
        <v>651</v>
      </c>
      <c r="C54" s="1686" t="s">
        <v>1008</v>
      </c>
    </row>
    <row r="55" spans="1:4" x14ac:dyDescent="0.2">
      <c r="A55" s="3818"/>
      <c r="B55" s="1689" t="s">
        <v>652</v>
      </c>
      <c r="C55" s="1686" t="s">
        <v>1009</v>
      </c>
    </row>
    <row r="56" spans="1:4" x14ac:dyDescent="0.2">
      <c r="A56" s="3818"/>
      <c r="B56" s="1689" t="s">
        <v>653</v>
      </c>
      <c r="C56" s="1686" t="s">
        <v>1013</v>
      </c>
    </row>
    <row r="57" spans="1:4" x14ac:dyDescent="0.2">
      <c r="A57" s="3818"/>
      <c r="B57" s="1689" t="s">
        <v>654</v>
      </c>
      <c r="C57" s="1686" t="s">
        <v>1010</v>
      </c>
    </row>
    <row r="58" spans="1:4" x14ac:dyDescent="0.2">
      <c r="A58" s="1690"/>
      <c r="B58" s="1686"/>
    </row>
    <row r="59" spans="1:4" x14ac:dyDescent="0.2">
      <c r="A59" s="1690"/>
      <c r="B59" s="1686"/>
    </row>
    <row r="60" spans="1:4" x14ac:dyDescent="0.2">
      <c r="A60" s="1690"/>
      <c r="B60" s="1686"/>
    </row>
    <row r="61" spans="1:4" x14ac:dyDescent="0.2">
      <c r="A61" s="1690"/>
      <c r="B61" s="1686"/>
    </row>
    <row r="62" spans="1:4" x14ac:dyDescent="0.2">
      <c r="A62" s="1690"/>
      <c r="B62" s="1686"/>
    </row>
    <row r="63" spans="1:4" x14ac:dyDescent="0.2">
      <c r="A63" s="1690"/>
      <c r="B63" s="1686"/>
    </row>
    <row r="64" spans="1:4" x14ac:dyDescent="0.2">
      <c r="A64" s="1690"/>
      <c r="B64" s="1686"/>
    </row>
    <row r="65" spans="1:2" x14ac:dyDescent="0.2">
      <c r="A65" s="1690"/>
      <c r="B65" s="1686"/>
    </row>
    <row r="66" spans="1:2" x14ac:dyDescent="0.2">
      <c r="A66" s="1690"/>
      <c r="B66" s="1686"/>
    </row>
    <row r="67" spans="1:2" x14ac:dyDescent="0.2">
      <c r="A67" s="1690"/>
      <c r="B67" s="1686"/>
    </row>
    <row r="68" spans="1:2" x14ac:dyDescent="0.2">
      <c r="A68" s="1690"/>
      <c r="B68" s="1686"/>
    </row>
    <row r="69" spans="1:2" x14ac:dyDescent="0.2">
      <c r="A69" s="1690"/>
      <c r="B69" s="1686"/>
    </row>
    <row r="70" spans="1:2" x14ac:dyDescent="0.2">
      <c r="A70" s="1690"/>
      <c r="B70" s="1686"/>
    </row>
    <row r="71" spans="1:2" x14ac:dyDescent="0.2">
      <c r="A71" s="1690"/>
      <c r="B71" s="1686"/>
    </row>
    <row r="72" spans="1:2" x14ac:dyDescent="0.2">
      <c r="A72" s="1690"/>
      <c r="B72" s="1686"/>
    </row>
    <row r="73" spans="1:2" x14ac:dyDescent="0.2">
      <c r="A73" s="1690"/>
      <c r="B73" s="1686"/>
    </row>
    <row r="74" spans="1:2" x14ac:dyDescent="0.2">
      <c r="A74" s="1690"/>
      <c r="B74" s="1686"/>
    </row>
    <row r="75" spans="1:2" x14ac:dyDescent="0.2">
      <c r="A75" s="1690"/>
      <c r="B75" s="1686"/>
    </row>
    <row r="76" spans="1:2" x14ac:dyDescent="0.2">
      <c r="A76" s="1690"/>
      <c r="B76" s="1686"/>
    </row>
    <row r="77" spans="1:2" x14ac:dyDescent="0.2">
      <c r="A77" s="1690"/>
      <c r="B77" s="1686"/>
    </row>
    <row r="78" spans="1:2" x14ac:dyDescent="0.2">
      <c r="A78" s="1690"/>
      <c r="B78" s="1686"/>
    </row>
    <row r="79" spans="1:2" x14ac:dyDescent="0.2">
      <c r="A79" s="1690"/>
      <c r="B79" s="1686"/>
    </row>
    <row r="80" spans="1:2" x14ac:dyDescent="0.2">
      <c r="A80" s="1690"/>
      <c r="B80" s="1686"/>
    </row>
    <row r="81" spans="1:2" x14ac:dyDescent="0.2">
      <c r="A81" s="1690"/>
      <c r="B81" s="1686"/>
    </row>
    <row r="82" spans="1:2" x14ac:dyDescent="0.2">
      <c r="A82" s="1690"/>
      <c r="B82" s="1686"/>
    </row>
    <row r="83" spans="1:2" x14ac:dyDescent="0.2">
      <c r="A83" s="1690"/>
      <c r="B83" s="1686"/>
    </row>
    <row r="84" spans="1:2" x14ac:dyDescent="0.2">
      <c r="A84" s="1690"/>
      <c r="B84" s="1686"/>
    </row>
    <row r="85" spans="1:2" x14ac:dyDescent="0.2">
      <c r="A85" s="1690"/>
      <c r="B85" s="1686"/>
    </row>
    <row r="86" spans="1:2" x14ac:dyDescent="0.2">
      <c r="A86" s="1690"/>
      <c r="B86" s="1686"/>
    </row>
    <row r="87" spans="1:2" x14ac:dyDescent="0.2">
      <c r="A87" s="1690"/>
      <c r="B87" s="1686"/>
    </row>
    <row r="88" spans="1:2" x14ac:dyDescent="0.2">
      <c r="A88" s="1690"/>
      <c r="B88" s="1686"/>
    </row>
    <row r="89" spans="1:2" x14ac:dyDescent="0.2">
      <c r="A89" s="1690"/>
      <c r="B89" s="1686"/>
    </row>
    <row r="90" spans="1:2" x14ac:dyDescent="0.2">
      <c r="A90" s="1690"/>
      <c r="B90" s="1686"/>
    </row>
    <row r="91" spans="1:2" x14ac:dyDescent="0.2">
      <c r="A91" s="1690"/>
      <c r="B91" s="1686"/>
    </row>
    <row r="92" spans="1:2" x14ac:dyDescent="0.2">
      <c r="A92" s="1690"/>
      <c r="B92" s="1686"/>
    </row>
    <row r="93" spans="1:2" x14ac:dyDescent="0.2">
      <c r="A93" s="1690"/>
      <c r="B93" s="1686"/>
    </row>
    <row r="94" spans="1:2" x14ac:dyDescent="0.2">
      <c r="A94" s="1690"/>
      <c r="B94" s="1686"/>
    </row>
    <row r="95" spans="1:2" x14ac:dyDescent="0.2">
      <c r="A95" s="1690"/>
      <c r="B95" s="1686"/>
    </row>
    <row r="96" spans="1:2" x14ac:dyDescent="0.2">
      <c r="A96" s="1690"/>
      <c r="B96" s="1686"/>
    </row>
    <row r="97" spans="1:2" x14ac:dyDescent="0.2">
      <c r="A97" s="1690"/>
      <c r="B97" s="1686"/>
    </row>
    <row r="98" spans="1:2" x14ac:dyDescent="0.2">
      <c r="A98" s="1690"/>
      <c r="B98" s="1686"/>
    </row>
    <row r="99" spans="1:2" x14ac:dyDescent="0.2">
      <c r="A99" s="1690"/>
      <c r="B99" s="1686"/>
    </row>
    <row r="100" spans="1:2" x14ac:dyDescent="0.2">
      <c r="A100" s="1690"/>
      <c r="B100" s="1686"/>
    </row>
    <row r="101" spans="1:2" x14ac:dyDescent="0.2">
      <c r="A101" s="1690"/>
      <c r="B101" s="1686"/>
    </row>
    <row r="102" spans="1:2" x14ac:dyDescent="0.2">
      <c r="A102" s="1690"/>
      <c r="B102" s="1686"/>
    </row>
    <row r="103" spans="1:2" x14ac:dyDescent="0.2">
      <c r="A103" s="1690"/>
      <c r="B103" s="1686"/>
    </row>
    <row r="104" spans="1:2" x14ac:dyDescent="0.2">
      <c r="A104" s="1690"/>
      <c r="B104" s="1686"/>
    </row>
    <row r="105" spans="1:2" x14ac:dyDescent="0.2">
      <c r="A105" s="1690"/>
      <c r="B105" s="1686"/>
    </row>
    <row r="106" spans="1:2" x14ac:dyDescent="0.2">
      <c r="A106" s="1690"/>
      <c r="B106" s="1686"/>
    </row>
    <row r="107" spans="1:2" x14ac:dyDescent="0.2">
      <c r="A107" s="1690"/>
      <c r="B107" s="1686"/>
    </row>
    <row r="108" spans="1:2" x14ac:dyDescent="0.2">
      <c r="A108" s="1690"/>
      <c r="B108" s="1686"/>
    </row>
    <row r="109" spans="1:2" x14ac:dyDescent="0.2">
      <c r="A109" s="1690"/>
      <c r="B109" s="1686"/>
    </row>
    <row r="110" spans="1:2" x14ac:dyDescent="0.2">
      <c r="A110" s="1690"/>
      <c r="B110" s="1686"/>
    </row>
    <row r="111" spans="1:2" x14ac:dyDescent="0.2">
      <c r="A111" s="1690"/>
      <c r="B111" s="1686"/>
    </row>
    <row r="112" spans="1:2" x14ac:dyDescent="0.2">
      <c r="A112" s="1690"/>
      <c r="B112" s="1686"/>
    </row>
    <row r="113" spans="1:2" x14ac:dyDescent="0.2">
      <c r="A113" s="1690"/>
      <c r="B113" s="1686"/>
    </row>
    <row r="114" spans="1:2" x14ac:dyDescent="0.2">
      <c r="A114" s="1690"/>
      <c r="B114" s="1686"/>
    </row>
    <row r="115" spans="1:2" x14ac:dyDescent="0.2">
      <c r="A115" s="1690"/>
      <c r="B115" s="1686"/>
    </row>
    <row r="116" spans="1:2" x14ac:dyDescent="0.2">
      <c r="A116" s="1690"/>
      <c r="B116" s="1686"/>
    </row>
    <row r="117" spans="1:2" x14ac:dyDescent="0.2">
      <c r="A117" s="1690"/>
      <c r="B117" s="1686"/>
    </row>
    <row r="118" spans="1:2" x14ac:dyDescent="0.2">
      <c r="A118" s="1690"/>
      <c r="B118" s="1686"/>
    </row>
    <row r="119" spans="1:2" x14ac:dyDescent="0.2">
      <c r="A119" s="1690"/>
      <c r="B119" s="1686"/>
    </row>
    <row r="120" spans="1:2" x14ac:dyDescent="0.2">
      <c r="A120" s="1690"/>
      <c r="B120" s="1686"/>
    </row>
    <row r="121" spans="1:2" x14ac:dyDescent="0.2">
      <c r="A121" s="1690"/>
      <c r="B121" s="1686"/>
    </row>
    <row r="122" spans="1:2" x14ac:dyDescent="0.2">
      <c r="A122" s="1690"/>
      <c r="B122" s="1686"/>
    </row>
    <row r="123" spans="1:2" x14ac:dyDescent="0.2">
      <c r="A123" s="1690"/>
      <c r="B123" s="1686"/>
    </row>
    <row r="124" spans="1:2" x14ac:dyDescent="0.2">
      <c r="A124" s="1690"/>
      <c r="B124" s="1686"/>
    </row>
    <row r="125" spans="1:2" x14ac:dyDescent="0.2">
      <c r="A125" s="1690"/>
      <c r="B125" s="1686"/>
    </row>
    <row r="126" spans="1:2" x14ac:dyDescent="0.2">
      <c r="A126" s="1690"/>
      <c r="B126" s="1686"/>
    </row>
    <row r="127" spans="1:2" x14ac:dyDescent="0.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baseColWidth="10" defaultColWidth="8.33203125" defaultRowHeight="13" x14ac:dyDescent="0.2"/>
  <cols>
    <col min="1" max="1" width="9.33203125" style="275" customWidth="1"/>
    <col min="2" max="2" width="29.1640625" style="257" customWidth="1"/>
    <col min="3" max="3" width="12.1640625" style="257" customWidth="1"/>
    <col min="4" max="5" width="11.1640625" style="278" customWidth="1"/>
    <col min="6" max="6" width="9.5" style="257" customWidth="1"/>
    <col min="7" max="7" width="31.83203125" style="257" customWidth="1"/>
    <col min="8" max="254" width="9" style="257" customWidth="1"/>
    <col min="255" max="16384" width="8.33203125" style="257"/>
  </cols>
  <sheetData>
    <row r="1" spans="1:7" s="206" customFormat="1" ht="20" x14ac:dyDescent="0.2">
      <c r="A1" s="202" t="s">
        <v>83</v>
      </c>
      <c r="B1" s="203"/>
      <c r="C1" s="204"/>
      <c r="D1" s="204"/>
      <c r="E1" s="204"/>
      <c r="F1" s="204"/>
      <c r="G1" s="205"/>
    </row>
    <row r="2" spans="1:7" s="206" customFormat="1" ht="18" customHeight="1" x14ac:dyDescent="0.2">
      <c r="A2" s="207" t="s">
        <v>84</v>
      </c>
      <c r="B2" s="208">
        <f ca="1">C52</f>
        <v>30236</v>
      </c>
      <c r="C2" s="2" t="s">
        <v>133</v>
      </c>
      <c r="D2" s="205"/>
      <c r="E2" s="205"/>
      <c r="F2" s="205"/>
      <c r="G2" s="205"/>
    </row>
    <row r="3" spans="1:7" s="206" customFormat="1" ht="18" customHeight="1" thickBot="1" x14ac:dyDescent="0.25">
      <c r="A3" s="209" t="s">
        <v>85</v>
      </c>
      <c r="B3" s="210">
        <f ca="1">ROUND(B2*10000/'数据-汇总表'!E3,0)</f>
        <v>5141302</v>
      </c>
      <c r="C3" s="2" t="s">
        <v>134</v>
      </c>
      <c r="D3" s="205"/>
      <c r="E3" s="205"/>
      <c r="F3" s="205"/>
      <c r="G3" s="205"/>
    </row>
    <row r="4" spans="1:7" s="214" customFormat="1" ht="16" x14ac:dyDescent="0.2">
      <c r="A4" s="211" t="s">
        <v>86</v>
      </c>
      <c r="B4" s="212"/>
      <c r="C4" s="212"/>
      <c r="D4" s="212"/>
      <c r="E4" s="212"/>
      <c r="F4" s="212"/>
      <c r="G4" s="213"/>
    </row>
    <row r="5" spans="1:7" s="220" customFormat="1" ht="13.5" customHeight="1" x14ac:dyDescent="0.15">
      <c r="A5" s="261" t="s">
        <v>841</v>
      </c>
      <c r="B5" s="216" t="s">
        <v>87</v>
      </c>
      <c r="C5" s="217">
        <f>C6+C7+C8</f>
        <v>20610</v>
      </c>
      <c r="D5" s="217" t="s">
        <v>88</v>
      </c>
      <c r="E5" s="218" t="s">
        <v>89</v>
      </c>
      <c r="F5" s="218" t="s">
        <v>90</v>
      </c>
      <c r="G5" s="219"/>
    </row>
    <row r="6" spans="1:7" s="220" customFormat="1" ht="13.5" customHeight="1" x14ac:dyDescent="0.15">
      <c r="A6" s="866" t="s">
        <v>610</v>
      </c>
      <c r="B6" s="221" t="s">
        <v>91</v>
      </c>
      <c r="C6" s="222">
        <v>20000</v>
      </c>
      <c r="D6" s="223"/>
      <c r="E6" s="224"/>
      <c r="F6" s="224"/>
      <c r="G6" s="225"/>
    </row>
    <row r="7" spans="1:7" s="220" customFormat="1" ht="13.5" customHeight="1" x14ac:dyDescent="0.15">
      <c r="A7" s="866" t="s">
        <v>611</v>
      </c>
      <c r="B7" s="221" t="s">
        <v>57</v>
      </c>
      <c r="C7" s="226">
        <f>ROUND(C6*F7,0)</f>
        <v>610</v>
      </c>
      <c r="D7" s="226"/>
      <c r="E7" s="224"/>
      <c r="F7" s="227">
        <f>'数据-取费表'!B48+'数据-取费表'!B49</f>
        <v>3.0499999999999999E-2</v>
      </c>
      <c r="G7" s="225"/>
    </row>
    <row r="8" spans="1:7" s="229" customFormat="1" ht="14" x14ac:dyDescent="0.15">
      <c r="A8" s="866" t="s">
        <v>612</v>
      </c>
      <c r="B8" s="221" t="s">
        <v>92</v>
      </c>
      <c r="C8" s="226" t="str">
        <f>IF(G8="已包含在土地购买价格中","0",'数据-取费表'!B29)</f>
        <v>0</v>
      </c>
      <c r="D8" s="228"/>
      <c r="E8" s="226"/>
      <c r="F8" s="227"/>
      <c r="G8" s="1" t="s">
        <v>876</v>
      </c>
    </row>
    <row r="9" spans="1:7" s="220" customFormat="1" ht="13.5" customHeight="1" x14ac:dyDescent="0.15">
      <c r="A9" s="867" t="s">
        <v>619</v>
      </c>
      <c r="B9" s="230" t="s">
        <v>93</v>
      </c>
      <c r="C9" s="231">
        <f>ROUND(D9*E9/10000,0)</f>
        <v>0</v>
      </c>
      <c r="D9" s="934">
        <f>'数据-汇总表'!E5</f>
        <v>0</v>
      </c>
      <c r="E9" s="231">
        <f>'数据-取费表'!B27</f>
        <v>0</v>
      </c>
      <c r="F9" s="227"/>
      <c r="G9" s="232"/>
    </row>
    <row r="10" spans="1:7" s="220" customFormat="1" ht="13.5" customHeight="1" x14ac:dyDescent="0.15">
      <c r="A10" s="867" t="s">
        <v>620</v>
      </c>
      <c r="B10" s="230" t="s">
        <v>94</v>
      </c>
      <c r="C10" s="231">
        <f>ROUND(D10*E10/10000,0)</f>
        <v>1</v>
      </c>
      <c r="D10" s="934">
        <f>'数据-汇总表'!E6</f>
        <v>58.81</v>
      </c>
      <c r="E10" s="231">
        <f>'数据-取费表'!B28</f>
        <v>200</v>
      </c>
      <c r="F10" s="227"/>
      <c r="G10" s="232"/>
    </row>
    <row r="11" spans="1:7" s="220" customFormat="1" ht="13.5" hidden="1" customHeight="1" x14ac:dyDescent="0.15">
      <c r="A11" s="233" t="s">
        <v>7</v>
      </c>
      <c r="B11" s="221" t="s">
        <v>95</v>
      </c>
      <c r="C11" s="217"/>
      <c r="D11" s="936"/>
      <c r="E11" s="224"/>
      <c r="F11" s="224"/>
      <c r="G11" s="225"/>
    </row>
    <row r="12" spans="1:7" s="220" customFormat="1" ht="13.5" hidden="1" customHeight="1" x14ac:dyDescent="0.15">
      <c r="A12" s="233" t="s">
        <v>8</v>
      </c>
      <c r="B12" s="221" t="s">
        <v>96</v>
      </c>
      <c r="C12" s="217">
        <v>0</v>
      </c>
      <c r="D12" s="936"/>
      <c r="E12" s="234"/>
      <c r="F12" s="227">
        <v>3.0499999999999999E-2</v>
      </c>
      <c r="G12" s="225"/>
    </row>
    <row r="13" spans="1:7" s="220" customFormat="1" ht="13.5" hidden="1" customHeight="1" x14ac:dyDescent="0.15">
      <c r="A13" s="233" t="s">
        <v>9</v>
      </c>
      <c r="B13" s="221" t="s">
        <v>97</v>
      </c>
      <c r="C13" s="217"/>
      <c r="D13" s="936"/>
      <c r="E13" s="224"/>
      <c r="F13" s="224"/>
      <c r="G13" s="225"/>
    </row>
    <row r="14" spans="1:7" s="220" customFormat="1" ht="13.5" hidden="1" customHeight="1" x14ac:dyDescent="0.15">
      <c r="A14" s="233" t="s">
        <v>10</v>
      </c>
      <c r="B14" s="221" t="s">
        <v>92</v>
      </c>
      <c r="C14" s="217"/>
      <c r="D14" s="936"/>
      <c r="E14" s="224"/>
      <c r="F14" s="224"/>
      <c r="G14" s="225" t="s">
        <v>98</v>
      </c>
    </row>
    <row r="15" spans="1:7" s="220" customFormat="1" ht="13.5" hidden="1" customHeight="1" x14ac:dyDescent="0.15">
      <c r="A15" s="233" t="s">
        <v>11</v>
      </c>
      <c r="B15" s="221" t="s">
        <v>99</v>
      </c>
      <c r="C15" s="226"/>
      <c r="D15" s="936"/>
      <c r="E15" s="224"/>
      <c r="F15" s="224"/>
      <c r="G15" s="225" t="s">
        <v>100</v>
      </c>
    </row>
    <row r="16" spans="1:7" s="220" customFormat="1" ht="13.5" hidden="1" customHeight="1" x14ac:dyDescent="0.15">
      <c r="A16" s="233" t="s">
        <v>12</v>
      </c>
      <c r="B16" s="221" t="s">
        <v>92</v>
      </c>
      <c r="C16" s="226"/>
      <c r="D16" s="936"/>
      <c r="E16" s="224"/>
      <c r="F16" s="224"/>
      <c r="G16" s="225"/>
    </row>
    <row r="17" spans="1:7" s="220" customFormat="1" ht="13.5" hidden="1" customHeight="1" x14ac:dyDescent="0.15">
      <c r="A17" s="233" t="s">
        <v>13</v>
      </c>
      <c r="B17" s="221" t="s">
        <v>101</v>
      </c>
      <c r="C17" s="235"/>
      <c r="D17" s="937"/>
      <c r="E17" s="235"/>
      <c r="F17" s="235"/>
      <c r="G17" s="225" t="s">
        <v>100</v>
      </c>
    </row>
    <row r="18" spans="1:7" s="220" customFormat="1" ht="13.5" hidden="1" customHeight="1" x14ac:dyDescent="0.15">
      <c r="A18" s="233" t="s">
        <v>14</v>
      </c>
      <c r="B18" s="221" t="s">
        <v>102</v>
      </c>
      <c r="C18" s="226">
        <v>0</v>
      </c>
      <c r="D18" s="936"/>
      <c r="E18" s="224"/>
      <c r="F18" s="227">
        <v>3.0499999999999999E-2</v>
      </c>
      <c r="G18" s="225" t="s">
        <v>103</v>
      </c>
    </row>
    <row r="19" spans="1:7" s="229" customFormat="1" ht="13.5" customHeight="1" x14ac:dyDescent="0.15">
      <c r="A19" s="865" t="s">
        <v>842</v>
      </c>
      <c r="B19" s="216" t="s">
        <v>111</v>
      </c>
      <c r="C19" s="217">
        <f>IF(G19="已包含在土地取得成本中","0",ROUND(D19*E19/10000,0))</f>
        <v>1</v>
      </c>
      <c r="D19" s="938">
        <f>'数据-汇总表'!E3</f>
        <v>58.81</v>
      </c>
      <c r="E19" s="217">
        <f>'数据-取费表'!B31</f>
        <v>200</v>
      </c>
      <c r="F19" s="237"/>
      <c r="G19" s="1" t="s">
        <v>861</v>
      </c>
    </row>
    <row r="20" spans="1:7" s="220" customFormat="1" ht="13.5" customHeight="1" x14ac:dyDescent="0.15">
      <c r="A20" s="865" t="s">
        <v>844</v>
      </c>
      <c r="B20" s="216" t="s">
        <v>104</v>
      </c>
      <c r="C20" s="238">
        <f>ROUND((C5+C19)*F20,0)</f>
        <v>412</v>
      </c>
      <c r="D20" s="238"/>
      <c r="E20" s="238"/>
      <c r="F20" s="239">
        <f>'数据-取费表'!B37</f>
        <v>0.02</v>
      </c>
      <c r="G20" s="1179" t="s">
        <v>855</v>
      </c>
    </row>
    <row r="21" spans="1:7" s="220" customFormat="1" ht="13.5" customHeight="1" x14ac:dyDescent="0.15">
      <c r="A21" s="865" t="s">
        <v>846</v>
      </c>
      <c r="B21" s="216" t="s">
        <v>105</v>
      </c>
      <c r="C21" s="241">
        <f>F21</f>
        <v>0.02</v>
      </c>
      <c r="D21" s="242" t="s">
        <v>126</v>
      </c>
      <c r="E21" s="238"/>
      <c r="F21" s="239">
        <f>'数据-取费表'!B38</f>
        <v>0.02</v>
      </c>
      <c r="G21" s="240" t="s">
        <v>106</v>
      </c>
    </row>
    <row r="22" spans="1:7" s="220" customFormat="1" ht="13.5" customHeight="1" x14ac:dyDescent="0.15">
      <c r="A22" s="865" t="s">
        <v>605</v>
      </c>
      <c r="B22" s="216" t="s">
        <v>107</v>
      </c>
      <c r="C22" s="1216">
        <f ca="1">ROUND(SUM(C23:C25),0)</f>
        <v>1547</v>
      </c>
      <c r="D22" s="241">
        <f ca="1">C26</f>
        <v>6.9999999999999999E-4</v>
      </c>
      <c r="E22" s="242" t="s">
        <v>126</v>
      </c>
      <c r="F22" s="243">
        <f ca="1">'数据-取费表'!B40</f>
        <v>3.6499999999999998E-2</v>
      </c>
      <c r="G22" s="1179" t="str">
        <f>IF('数据-取费表'!B22&lt;=1,"单利计息","复利计息")</f>
        <v>复利计息</v>
      </c>
    </row>
    <row r="23" spans="1:7" s="220" customFormat="1" ht="13.5" customHeight="1" x14ac:dyDescent="0.15">
      <c r="A23" s="868" t="s">
        <v>613</v>
      </c>
      <c r="B23" s="221" t="s">
        <v>848</v>
      </c>
      <c r="C23" s="1217">
        <f ca="1">ROUND(IF('数据-取费表'!B22&lt;=1,C5*F22*'数据-取费表'!B23,C5*(POWER((1+F22),'数据-取费表'!B23)-1)),0)</f>
        <v>1532</v>
      </c>
      <c r="D23" s="244"/>
      <c r="E23" s="244"/>
      <c r="F23" s="245"/>
      <c r="G23" s="246" t="s">
        <v>108</v>
      </c>
    </row>
    <row r="24" spans="1:7" s="220" customFormat="1" ht="13.5" customHeight="1" x14ac:dyDescent="0.15">
      <c r="A24" s="868" t="s">
        <v>611</v>
      </c>
      <c r="B24" s="221" t="s">
        <v>843</v>
      </c>
      <c r="C24" s="1217">
        <f ca="1">ROUND(IF('数据-取费表'!B22&lt;=1,C19*F22*('数据-取费表'!B19/2+'数据-取费表'!B21),C19*(POWER((1+F22),('数据-取费表'!B19/2+'数据-取费表'!B21))-1)),0)</f>
        <v>0</v>
      </c>
      <c r="D24" s="244"/>
      <c r="E24" s="244"/>
      <c r="F24" s="245"/>
      <c r="G24" s="246" t="s">
        <v>109</v>
      </c>
    </row>
    <row r="25" spans="1:7" s="220" customFormat="1" ht="28" x14ac:dyDescent="0.15">
      <c r="A25" s="868" t="s">
        <v>612</v>
      </c>
      <c r="B25" s="221" t="s">
        <v>845</v>
      </c>
      <c r="C25" s="1217">
        <f ca="1">ROUND(IF('数据-取费表'!B22&lt;=1,C20*F22*'数据-取费表'!B23/2,C20*(POWER((1+F22),'数据-取费表'!B23/2)-1)),0)</f>
        <v>15</v>
      </c>
      <c r="D25" s="244"/>
      <c r="E25" s="247"/>
      <c r="F25" s="245"/>
      <c r="G25" s="248" t="s">
        <v>110</v>
      </c>
    </row>
    <row r="26" spans="1:7" s="220" customFormat="1" ht="14" x14ac:dyDescent="0.15">
      <c r="A26" s="868" t="s">
        <v>614</v>
      </c>
      <c r="B26" s="221" t="s">
        <v>847</v>
      </c>
      <c r="C26" s="244">
        <f ca="1">ROUND(IF('数据-取费表'!B22&lt;=1,F21*F22*'数据-取费表'!B23/2,F21*(POWER((1+F22),'数据-取费表'!B23/2)-1)),4)</f>
        <v>6.9999999999999999E-4</v>
      </c>
      <c r="D26" s="244"/>
      <c r="E26" s="247"/>
      <c r="F26" s="245"/>
      <c r="G26" s="249"/>
    </row>
    <row r="27" spans="1:7" s="220" customFormat="1" ht="28" x14ac:dyDescent="0.15">
      <c r="A27" s="865" t="s">
        <v>606</v>
      </c>
      <c r="B27" s="250" t="s">
        <v>112</v>
      </c>
      <c r="C27" s="251">
        <f>C28</f>
        <v>5256</v>
      </c>
      <c r="D27" s="241">
        <f>C29</f>
        <v>5.0000000000000001E-3</v>
      </c>
      <c r="E27" s="242" t="s">
        <v>126</v>
      </c>
      <c r="F27" s="252">
        <f>'数据-取费表'!Q16</f>
        <v>0.25</v>
      </c>
      <c r="G27" s="253" t="s">
        <v>856</v>
      </c>
    </row>
    <row r="28" spans="1:7" s="220" customFormat="1" ht="13.5" customHeight="1" x14ac:dyDescent="0.15">
      <c r="A28" s="868" t="s">
        <v>613</v>
      </c>
      <c r="B28" s="254" t="s">
        <v>849</v>
      </c>
      <c r="C28" s="255">
        <f>ROUND((C5+C19+C20)*F27*'数据-取费表'!B21/'数据-取费表'!B20,0)</f>
        <v>5256</v>
      </c>
      <c r="D28" s="241"/>
      <c r="E28" s="242"/>
      <c r="F28" s="252"/>
      <c r="G28" s="253"/>
    </row>
    <row r="29" spans="1:7" s="220" customFormat="1" ht="13.5" customHeight="1" x14ac:dyDescent="0.15">
      <c r="A29" s="868" t="s">
        <v>611</v>
      </c>
      <c r="B29" s="254" t="s">
        <v>850</v>
      </c>
      <c r="C29" s="244">
        <f>ROUND(C21*F27*'数据-取费表'!B21/'数据-取费表'!B20,4)</f>
        <v>5.0000000000000001E-3</v>
      </c>
      <c r="D29" s="241"/>
      <c r="E29" s="242"/>
      <c r="F29" s="252"/>
      <c r="G29" s="253"/>
    </row>
    <row r="30" spans="1:7" s="220" customFormat="1" ht="13.5" customHeight="1" x14ac:dyDescent="0.15">
      <c r="A30" s="865" t="s">
        <v>607</v>
      </c>
      <c r="B30" s="216" t="s">
        <v>58</v>
      </c>
      <c r="C30" s="241">
        <f>F30</f>
        <v>5.6000000000000001E-2</v>
      </c>
      <c r="D30" s="242" t="s">
        <v>127</v>
      </c>
      <c r="E30" s="247"/>
      <c r="F30" s="243">
        <f>'数据-取费表'!B41</f>
        <v>5.6000000000000001E-2</v>
      </c>
      <c r="G30" s="240" t="s">
        <v>113</v>
      </c>
    </row>
    <row r="31" spans="1:7" ht="16.5" customHeight="1" x14ac:dyDescent="0.2">
      <c r="A31" s="215">
        <v>1</v>
      </c>
      <c r="B31" s="216" t="s">
        <v>128</v>
      </c>
      <c r="C31" s="217">
        <f ca="1">ROUND((C5+C19+C20+C22+C27)/(1-C21-D22-D27-C30/(1+'数据-取费表'!B42)),0)</f>
        <v>30214</v>
      </c>
      <c r="D31" s="236"/>
      <c r="E31" s="217"/>
      <c r="F31" s="256"/>
      <c r="G31" s="240" t="s">
        <v>857</v>
      </c>
    </row>
    <row r="32" spans="1:7" s="214" customFormat="1" ht="16" x14ac:dyDescent="0.2">
      <c r="A32" s="258" t="s">
        <v>114</v>
      </c>
      <c r="B32" s="259"/>
      <c r="C32" s="259"/>
      <c r="D32" s="259"/>
      <c r="E32" s="259"/>
      <c r="F32" s="259"/>
      <c r="G32" s="260"/>
    </row>
    <row r="33" spans="1:7" s="220" customFormat="1" ht="13.5" customHeight="1" x14ac:dyDescent="0.15">
      <c r="A33" s="261" t="s">
        <v>601</v>
      </c>
      <c r="B33" s="216" t="s">
        <v>115</v>
      </c>
      <c r="C33" s="262">
        <f>SUM(C34:C38)</f>
        <v>20</v>
      </c>
      <c r="D33" s="238"/>
      <c r="E33" s="218"/>
      <c r="F33" s="247"/>
      <c r="G33" s="240"/>
    </row>
    <row r="34" spans="1:7" s="264" customFormat="1" ht="13.5" customHeight="1" x14ac:dyDescent="0.15">
      <c r="A34" s="868" t="s">
        <v>613</v>
      </c>
      <c r="B34" s="221" t="s">
        <v>59</v>
      </c>
      <c r="C34" s="226">
        <f>IF(F34=100%,'数据-取费表'!M16-SUMIF('数据-取费表'!C:C,"公共配套",'数据-取费表'!M:M),'数据-取费表'!O16-SUMIF('数据-取费表'!C:C,"公共配套",'数据-取费表'!O:O))</f>
        <v>18</v>
      </c>
      <c r="D34" s="223"/>
      <c r="E34" s="226"/>
      <c r="F34" s="263">
        <f>IF('数据-取费表'!B24=0,1,'数据-取费表'!N16)</f>
        <v>1</v>
      </c>
      <c r="G34" s="225" t="s">
        <v>116</v>
      </c>
    </row>
    <row r="35" spans="1:7" ht="13.5" customHeight="1" x14ac:dyDescent="0.15">
      <c r="A35" s="868" t="s">
        <v>615</v>
      </c>
      <c r="B35" s="221" t="s">
        <v>60</v>
      </c>
      <c r="C35" s="226">
        <f>ROUND(C34*F35,0)</f>
        <v>1</v>
      </c>
      <c r="D35" s="226"/>
      <c r="E35" s="226"/>
      <c r="F35" s="265">
        <f>'数据-取费表'!B33</f>
        <v>0.03</v>
      </c>
      <c r="G35" s="225" t="s">
        <v>117</v>
      </c>
    </row>
    <row r="36" spans="1:7" ht="28" x14ac:dyDescent="0.15">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0.1</v>
      </c>
      <c r="G36" s="266" t="s">
        <v>62</v>
      </c>
    </row>
    <row r="37" spans="1:7" s="264" customFormat="1" ht="13.5" customHeight="1" x14ac:dyDescent="0.15">
      <c r="A37" s="868" t="s">
        <v>617</v>
      </c>
      <c r="B37" s="221" t="s">
        <v>118</v>
      </c>
      <c r="C37" s="255">
        <f>ROUND(E37*D37*F34/10000,0)</f>
        <v>1</v>
      </c>
      <c r="D37" s="223">
        <f>'数据-汇总表'!E3</f>
        <v>58.81</v>
      </c>
      <c r="E37" s="255">
        <f>'数据-取费表'!B35</f>
        <v>200</v>
      </c>
      <c r="F37" s="265"/>
      <c r="G37" s="267" t="s">
        <v>119</v>
      </c>
    </row>
    <row r="38" spans="1:7" ht="13.5" customHeight="1" x14ac:dyDescent="0.15">
      <c r="A38" s="868" t="s">
        <v>618</v>
      </c>
      <c r="B38" s="221" t="s">
        <v>63</v>
      </c>
      <c r="C38" s="226">
        <f>ROUND(C34*F38,0)</f>
        <v>0</v>
      </c>
      <c r="D38" s="226"/>
      <c r="E38" s="226"/>
      <c r="F38" s="265">
        <f>'数据-取费表'!B36</f>
        <v>1.4999999999999999E-2</v>
      </c>
      <c r="G38" s="225" t="s">
        <v>117</v>
      </c>
    </row>
    <row r="39" spans="1:7" s="220" customFormat="1" ht="13.5" customHeight="1" x14ac:dyDescent="0.15">
      <c r="A39" s="865" t="s">
        <v>602</v>
      </c>
      <c r="B39" s="216" t="s">
        <v>104</v>
      </c>
      <c r="C39" s="238">
        <f>ROUND(C33*F20,0)</f>
        <v>0</v>
      </c>
      <c r="D39" s="238"/>
      <c r="E39" s="238"/>
      <c r="F39" s="239"/>
      <c r="G39" s="1179" t="s">
        <v>858</v>
      </c>
    </row>
    <row r="40" spans="1:7" s="220" customFormat="1" ht="13.5" customHeight="1" x14ac:dyDescent="0.15">
      <c r="A40" s="865" t="s">
        <v>603</v>
      </c>
      <c r="B40" s="216" t="s">
        <v>105</v>
      </c>
      <c r="C40" s="268">
        <f>F21</f>
        <v>0.02</v>
      </c>
      <c r="D40" s="242" t="s">
        <v>129</v>
      </c>
      <c r="E40" s="238"/>
      <c r="F40" s="239"/>
      <c r="G40" s="240" t="s">
        <v>120</v>
      </c>
    </row>
    <row r="41" spans="1:7" s="220" customFormat="1" ht="13.5" customHeight="1" x14ac:dyDescent="0.15">
      <c r="A41" s="865" t="s">
        <v>604</v>
      </c>
      <c r="B41" s="216" t="s">
        <v>107</v>
      </c>
      <c r="C41" s="238">
        <f ca="1">ROUND(SUM(C42:C43),0)</f>
        <v>1</v>
      </c>
      <c r="D41" s="241">
        <f ca="1">C44</f>
        <v>6.9999999999999999E-4</v>
      </c>
      <c r="E41" s="242" t="s">
        <v>129</v>
      </c>
      <c r="F41" s="243"/>
      <c r="G41" s="1179" t="str">
        <f>IF('数据-取费表'!B22&lt;=1,"单利计息","复利计息")</f>
        <v>复利计息</v>
      </c>
    </row>
    <row r="42" spans="1:7" ht="13.5" customHeight="1" x14ac:dyDescent="0.15">
      <c r="A42" s="868" t="s">
        <v>613</v>
      </c>
      <c r="B42" s="221" t="s">
        <v>848</v>
      </c>
      <c r="C42" s="244">
        <f ca="1">ROUND(IF('数据-取费表'!B22&lt;=1,C33*F22*'数据-取费表'!B21/2,C33*(POWER((1+F22),'数据-取费表'!B21/2)-1)),0)</f>
        <v>1</v>
      </c>
      <c r="D42" s="244"/>
      <c r="E42" s="244"/>
      <c r="F42" s="245"/>
      <c r="G42" s="3637" t="s">
        <v>121</v>
      </c>
    </row>
    <row r="43" spans="1:7" ht="13.5" customHeight="1" x14ac:dyDescent="0.15">
      <c r="A43" s="868" t="s">
        <v>611</v>
      </c>
      <c r="B43" s="221" t="s">
        <v>851</v>
      </c>
      <c r="C43" s="244">
        <f ca="1">ROUND(IF('数据-取费表'!B22&lt;=1,C39*F22*'数据-取费表'!B21/2,C39*(POWER((1+F22),'数据-取费表'!B21/2)-1)),0)</f>
        <v>0</v>
      </c>
      <c r="D43" s="244"/>
      <c r="E43" s="244"/>
      <c r="F43" s="245"/>
      <c r="G43" s="3638"/>
    </row>
    <row r="44" spans="1:7" ht="13.5" customHeight="1" x14ac:dyDescent="0.15">
      <c r="A44" s="868" t="s">
        <v>612</v>
      </c>
      <c r="B44" s="221" t="s">
        <v>853</v>
      </c>
      <c r="C44" s="244">
        <f ca="1">ROUND(IF('数据-取费表'!B22&lt;=1,C40*F22*'数据-取费表'!B21/2,C40*(POWER((1+F22),'数据-取费表'!B21/2)-1)),4)</f>
        <v>6.9999999999999999E-4</v>
      </c>
      <c r="D44" s="244"/>
      <c r="E44" s="244"/>
      <c r="F44" s="245"/>
      <c r="G44" s="3639"/>
    </row>
    <row r="45" spans="1:7" s="220" customFormat="1" ht="13.5" customHeight="1" x14ac:dyDescent="0.15">
      <c r="A45" s="865" t="s">
        <v>605</v>
      </c>
      <c r="B45" s="250" t="s">
        <v>112</v>
      </c>
      <c r="C45" s="251">
        <f>C46</f>
        <v>5</v>
      </c>
      <c r="D45" s="241">
        <f>C47</f>
        <v>5.0000000000000001E-3</v>
      </c>
      <c r="E45" s="242" t="s">
        <v>129</v>
      </c>
      <c r="F45" s="252"/>
      <c r="G45" s="253" t="s">
        <v>859</v>
      </c>
    </row>
    <row r="46" spans="1:7" s="220" customFormat="1" ht="13.5" customHeight="1" x14ac:dyDescent="0.15">
      <c r="A46" s="868" t="s">
        <v>613</v>
      </c>
      <c r="B46" s="254" t="s">
        <v>852</v>
      </c>
      <c r="C46" s="255">
        <f>ROUND((C33+C39)*F27,0)</f>
        <v>5</v>
      </c>
      <c r="D46" s="269"/>
      <c r="E46" s="242"/>
      <c r="F46" s="252"/>
      <c r="G46" s="253"/>
    </row>
    <row r="47" spans="1:7" s="220" customFormat="1" ht="13.5" customHeight="1" x14ac:dyDescent="0.15">
      <c r="A47" s="868" t="s">
        <v>611</v>
      </c>
      <c r="B47" s="254" t="s">
        <v>854</v>
      </c>
      <c r="C47" s="244">
        <f>ROUND(C40*F27,4)</f>
        <v>5.0000000000000001E-3</v>
      </c>
      <c r="D47" s="269"/>
      <c r="E47" s="242"/>
      <c r="F47" s="252"/>
      <c r="G47" s="253"/>
    </row>
    <row r="48" spans="1:7" s="220" customFormat="1" ht="13.5" customHeight="1" x14ac:dyDescent="0.15">
      <c r="A48" s="865" t="s">
        <v>606</v>
      </c>
      <c r="B48" s="216" t="s">
        <v>122</v>
      </c>
      <c r="C48" s="268">
        <f>F30</f>
        <v>5.6000000000000001E-2</v>
      </c>
      <c r="D48" s="242" t="s">
        <v>130</v>
      </c>
      <c r="E48" s="238"/>
      <c r="F48" s="243"/>
      <c r="G48" s="240" t="s">
        <v>123</v>
      </c>
    </row>
    <row r="49" spans="1:7" ht="16.5" customHeight="1" x14ac:dyDescent="0.2">
      <c r="A49" s="865" t="s">
        <v>607</v>
      </c>
      <c r="B49" s="216" t="s">
        <v>131</v>
      </c>
      <c r="C49" s="238">
        <f ca="1">ROUND((C33+C39+C41+C45)/(1-C40-D41-D45-C48/(1+'数据-取费表'!B42)),0)</f>
        <v>28</v>
      </c>
      <c r="D49" s="238"/>
      <c r="E49" s="238"/>
      <c r="F49" s="270"/>
      <c r="G49" s="240" t="s">
        <v>860</v>
      </c>
    </row>
    <row r="50" spans="1:7" s="264" customFormat="1" ht="28" x14ac:dyDescent="0.15">
      <c r="A50" s="865" t="s">
        <v>608</v>
      </c>
      <c r="B50" s="216" t="s">
        <v>124</v>
      </c>
      <c r="C50" s="238"/>
      <c r="D50" s="238"/>
      <c r="E50" s="238"/>
      <c r="F50" s="270">
        <f>IF('数据-取费表'!B24=0,'数据-取费表'!N16,1)</f>
        <v>0.8</v>
      </c>
      <c r="G50" s="253" t="s">
        <v>125</v>
      </c>
    </row>
    <row r="51" spans="1:7" ht="16.5" customHeight="1" x14ac:dyDescent="0.2">
      <c r="A51" s="865" t="s">
        <v>609</v>
      </c>
      <c r="B51" s="216" t="s">
        <v>132</v>
      </c>
      <c r="C51" s="238">
        <f ca="1">ROUND(C49*F50,0)</f>
        <v>22</v>
      </c>
      <c r="D51" s="238"/>
      <c r="E51" s="238"/>
      <c r="F51" s="270"/>
      <c r="G51" s="240" t="s">
        <v>64</v>
      </c>
    </row>
    <row r="52" spans="1:7" s="214" customFormat="1" ht="17" thickBot="1" x14ac:dyDescent="0.25">
      <c r="A52" s="271" t="s">
        <v>65</v>
      </c>
      <c r="B52" s="272"/>
      <c r="C52" s="273">
        <f ca="1">C31+C51</f>
        <v>30236</v>
      </c>
      <c r="D52" s="272"/>
      <c r="E52" s="272"/>
      <c r="F52" s="272"/>
      <c r="G52" s="274"/>
    </row>
    <row r="55" spans="1:7" ht="16" x14ac:dyDescent="0.15">
      <c r="B55" s="276" t="s">
        <v>66</v>
      </c>
      <c r="C55" s="277"/>
    </row>
    <row r="56" spans="1:7" ht="14" x14ac:dyDescent="0.15">
      <c r="B56" s="279" t="s">
        <v>67</v>
      </c>
      <c r="C56" s="280">
        <f ca="1">ROUND(C51/C52,3)</f>
        <v>1E-3</v>
      </c>
    </row>
    <row r="57" spans="1:7" ht="14" x14ac:dyDescent="0.15">
      <c r="B57" s="279" t="s">
        <v>68</v>
      </c>
      <c r="C57" s="281">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baseColWidth="10" defaultColWidth="9" defaultRowHeight="15" x14ac:dyDescent="0.2"/>
  <cols>
    <col min="1" max="1" width="12.6640625" style="793" customWidth="1"/>
    <col min="2" max="5" width="10.1640625" style="751" customWidth="1"/>
    <col min="6" max="6" width="9" style="751"/>
    <col min="7" max="8" width="9" style="766"/>
    <col min="9" max="16384" width="9" style="751"/>
  </cols>
  <sheetData>
    <row r="1" spans="1:19" x14ac:dyDescent="0.2">
      <c r="A1" s="3819" t="s">
        <v>156</v>
      </c>
      <c r="B1" s="3819"/>
      <c r="C1" s="3819"/>
      <c r="D1" s="3819"/>
      <c r="E1" s="3819"/>
      <c r="F1" s="381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6" thickBot="1" x14ac:dyDescent="0.25">
      <c r="A2" s="3820" t="s">
        <v>169</v>
      </c>
      <c r="B2" s="3820"/>
      <c r="C2" s="3820"/>
      <c r="D2" s="3820"/>
      <c r="E2" s="3820"/>
      <c r="F2" s="382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x14ac:dyDescent="0.2">
      <c r="A3" s="3821"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x14ac:dyDescent="0.25">
      <c r="A4" s="3822"/>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x14ac:dyDescent="0.25">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x14ac:dyDescent="0.25">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x14ac:dyDescent="0.25">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x14ac:dyDescent="0.25">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x14ac:dyDescent="0.25">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x14ac:dyDescent="0.25">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x14ac:dyDescent="0.25">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x14ac:dyDescent="0.25">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x14ac:dyDescent="0.25">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x14ac:dyDescent="0.25">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x14ac:dyDescent="0.25">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x14ac:dyDescent="0.25">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x14ac:dyDescent="0.25">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x14ac:dyDescent="0.25">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x14ac:dyDescent="0.25">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x14ac:dyDescent="0.25">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x14ac:dyDescent="0.25">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x14ac:dyDescent="0.25">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x14ac:dyDescent="0.25">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x14ac:dyDescent="0.25">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x14ac:dyDescent="0.25">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x14ac:dyDescent="0.25">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x14ac:dyDescent="0.25">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x14ac:dyDescent="0.25">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x14ac:dyDescent="0.25">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x14ac:dyDescent="0.25">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x14ac:dyDescent="0.25">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x14ac:dyDescent="0.25">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x14ac:dyDescent="0.25">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x14ac:dyDescent="0.25">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x14ac:dyDescent="0.25">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x14ac:dyDescent="0.25">
      <c r="A36" s="778" t="s">
        <v>441</v>
      </c>
      <c r="B36" s="782" t="s">
        <v>259</v>
      </c>
      <c r="C36" s="772">
        <v>19750</v>
      </c>
      <c r="D36" s="772">
        <v>19790</v>
      </c>
      <c r="E36" s="772">
        <v>18510</v>
      </c>
      <c r="F36" s="786">
        <v>6520</v>
      </c>
      <c r="M36" s="772" t="s">
        <v>477</v>
      </c>
      <c r="N36" s="772" t="s">
        <v>478</v>
      </c>
      <c r="O36" s="772" t="s">
        <v>479</v>
      </c>
      <c r="P36" s="772" t="s">
        <v>480</v>
      </c>
    </row>
    <row r="37" spans="1:16" ht="14.25" customHeight="1" thickBot="1" x14ac:dyDescent="0.25">
      <c r="A37" s="778" t="s">
        <v>441</v>
      </c>
      <c r="B37" s="782" t="s">
        <v>271</v>
      </c>
      <c r="C37" s="772">
        <v>22380</v>
      </c>
      <c r="D37" s="772">
        <v>18530</v>
      </c>
      <c r="E37" s="772">
        <v>17930</v>
      </c>
      <c r="F37" s="786">
        <v>6270</v>
      </c>
      <c r="M37" s="772" t="s">
        <v>481</v>
      </c>
      <c r="N37" s="772" t="s">
        <v>482</v>
      </c>
      <c r="O37" s="772" t="s">
        <v>483</v>
      </c>
      <c r="P37" s="772" t="s">
        <v>484</v>
      </c>
    </row>
    <row r="38" spans="1:16" ht="14.25" customHeight="1" thickBot="1" x14ac:dyDescent="0.25">
      <c r="A38" s="778" t="s">
        <v>441</v>
      </c>
      <c r="B38" s="782" t="s">
        <v>281</v>
      </c>
      <c r="C38" s="772">
        <v>20200</v>
      </c>
      <c r="D38" s="772">
        <v>20070</v>
      </c>
      <c r="E38" s="772">
        <v>19950</v>
      </c>
      <c r="F38" s="786"/>
      <c r="M38" s="772" t="s">
        <v>485</v>
      </c>
      <c r="N38" s="772" t="s">
        <v>486</v>
      </c>
      <c r="O38" s="772" t="s">
        <v>487</v>
      </c>
      <c r="P38" s="772" t="s">
        <v>488</v>
      </c>
    </row>
    <row r="39" spans="1:16" ht="14.25" customHeight="1" thickBot="1" x14ac:dyDescent="0.25">
      <c r="A39" s="778" t="s">
        <v>441</v>
      </c>
      <c r="B39" s="782" t="s">
        <v>291</v>
      </c>
      <c r="C39" s="772">
        <v>19300</v>
      </c>
      <c r="D39" s="772">
        <v>20360</v>
      </c>
      <c r="E39" s="772">
        <v>20230</v>
      </c>
      <c r="F39" s="786"/>
      <c r="M39" s="772" t="s">
        <v>489</v>
      </c>
      <c r="N39" s="772" t="s">
        <v>490</v>
      </c>
      <c r="O39" s="772" t="s">
        <v>491</v>
      </c>
      <c r="P39" s="772" t="s">
        <v>492</v>
      </c>
    </row>
    <row r="40" spans="1:16" ht="14.25" customHeight="1" thickBot="1" x14ac:dyDescent="0.25">
      <c r="A40" s="778" t="s">
        <v>441</v>
      </c>
      <c r="B40" s="782" t="s">
        <v>301</v>
      </c>
      <c r="C40" s="772">
        <v>20210</v>
      </c>
      <c r="D40" s="772">
        <v>19060</v>
      </c>
      <c r="E40" s="772">
        <v>18890</v>
      </c>
      <c r="F40" s="786"/>
      <c r="M40" s="772" t="s">
        <v>493</v>
      </c>
      <c r="N40" s="772" t="s">
        <v>494</v>
      </c>
      <c r="O40" s="772" t="s">
        <v>495</v>
      </c>
      <c r="P40" s="772" t="s">
        <v>496</v>
      </c>
    </row>
    <row r="41" spans="1:16" ht="14.25" customHeight="1" thickBot="1" x14ac:dyDescent="0.25">
      <c r="A41" s="778" t="s">
        <v>441</v>
      </c>
      <c r="B41" s="782" t="s">
        <v>311</v>
      </c>
      <c r="C41" s="772">
        <v>20560</v>
      </c>
      <c r="D41" s="772">
        <v>21040</v>
      </c>
      <c r="E41" s="772">
        <v>20740</v>
      </c>
      <c r="F41" s="786"/>
      <c r="M41" s="782" t="s">
        <v>497</v>
      </c>
      <c r="N41" s="782" t="s">
        <v>498</v>
      </c>
      <c r="P41" s="782" t="s">
        <v>499</v>
      </c>
    </row>
    <row r="42" spans="1:16" ht="14.25" customHeight="1" thickBot="1" x14ac:dyDescent="0.25">
      <c r="A42" s="778" t="s">
        <v>441</v>
      </c>
      <c r="B42" s="782" t="s">
        <v>322</v>
      </c>
      <c r="C42" s="772">
        <v>19280</v>
      </c>
      <c r="D42" s="772">
        <v>22940</v>
      </c>
      <c r="E42" s="772">
        <v>22500</v>
      </c>
      <c r="F42" s="786"/>
      <c r="M42" s="772" t="s">
        <v>500</v>
      </c>
      <c r="N42" s="772" t="s">
        <v>501</v>
      </c>
      <c r="P42" s="772" t="s">
        <v>502</v>
      </c>
    </row>
    <row r="43" spans="1:16" ht="14.25" customHeight="1" thickBot="1" x14ac:dyDescent="0.25">
      <c r="A43" s="778" t="s">
        <v>441</v>
      </c>
      <c r="B43" s="782" t="s">
        <v>333</v>
      </c>
      <c r="C43" s="772">
        <v>21520</v>
      </c>
      <c r="D43" s="772">
        <v>19230</v>
      </c>
      <c r="E43" s="772">
        <v>18540</v>
      </c>
      <c r="F43" s="786"/>
      <c r="M43" s="772" t="s">
        <v>503</v>
      </c>
      <c r="N43" s="772" t="s">
        <v>504</v>
      </c>
      <c r="P43" s="772" t="s">
        <v>505</v>
      </c>
    </row>
    <row r="44" spans="1:16" ht="14.25" customHeight="1" thickBot="1" x14ac:dyDescent="0.25">
      <c r="A44" s="778" t="s">
        <v>441</v>
      </c>
      <c r="B44" s="782" t="s">
        <v>343</v>
      </c>
      <c r="C44" s="772">
        <v>23260</v>
      </c>
      <c r="D44" s="772">
        <v>21180</v>
      </c>
      <c r="E44" s="772">
        <v>20730</v>
      </c>
      <c r="F44" s="786"/>
      <c r="M44" s="772" t="s">
        <v>506</v>
      </c>
      <c r="N44" s="772" t="s">
        <v>507</v>
      </c>
      <c r="P44" s="772" t="s">
        <v>508</v>
      </c>
    </row>
    <row r="45" spans="1:16" ht="14.25" customHeight="1" thickBot="1" x14ac:dyDescent="0.25">
      <c r="A45" s="778" t="s">
        <v>441</v>
      </c>
      <c r="B45" s="782" t="s">
        <v>353</v>
      </c>
      <c r="C45" s="772">
        <v>19610</v>
      </c>
      <c r="D45" s="772">
        <v>18090</v>
      </c>
      <c r="E45" s="772">
        <v>17970</v>
      </c>
      <c r="F45" s="786"/>
      <c r="M45" s="772" t="s">
        <v>509</v>
      </c>
      <c r="N45" s="772" t="s">
        <v>510</v>
      </c>
      <c r="P45" s="772" t="s">
        <v>511</v>
      </c>
    </row>
    <row r="46" spans="1:16" ht="14.25" customHeight="1" thickBot="1" x14ac:dyDescent="0.25">
      <c r="A46" s="778" t="s">
        <v>441</v>
      </c>
      <c r="B46" s="782" t="s">
        <v>363</v>
      </c>
      <c r="C46" s="772">
        <v>21660</v>
      </c>
      <c r="D46" s="772">
        <v>19190</v>
      </c>
      <c r="E46" s="772">
        <v>19790</v>
      </c>
      <c r="F46" s="786"/>
      <c r="M46" s="772" t="s">
        <v>512</v>
      </c>
      <c r="N46" s="772" t="s">
        <v>513</v>
      </c>
      <c r="P46" s="772" t="s">
        <v>514</v>
      </c>
    </row>
    <row r="47" spans="1:16" ht="14.25" customHeight="1" thickBot="1" x14ac:dyDescent="0.25">
      <c r="A47" s="778" t="s">
        <v>441</v>
      </c>
      <c r="B47" s="782" t="s">
        <v>373</v>
      </c>
      <c r="C47" s="772">
        <v>18220</v>
      </c>
      <c r="D47" s="772"/>
      <c r="E47" s="772">
        <v>17220</v>
      </c>
      <c r="F47" s="786"/>
      <c r="M47" s="772" t="s">
        <v>515</v>
      </c>
      <c r="N47" s="772" t="s">
        <v>516</v>
      </c>
    </row>
    <row r="48" spans="1:16" ht="14.25" customHeight="1" thickBot="1" x14ac:dyDescent="0.25">
      <c r="A48" s="778" t="s">
        <v>441</v>
      </c>
      <c r="B48" s="783" t="s">
        <v>382</v>
      </c>
      <c r="C48" s="784">
        <v>19430</v>
      </c>
      <c r="D48" s="784"/>
      <c r="E48" s="784">
        <v>17830</v>
      </c>
      <c r="F48" s="789"/>
      <c r="M48" s="772" t="s">
        <v>517</v>
      </c>
      <c r="N48" s="772" t="s">
        <v>518</v>
      </c>
    </row>
    <row r="49" spans="1:14" ht="14.25" customHeight="1" thickBot="1" x14ac:dyDescent="0.25">
      <c r="A49" s="778" t="s">
        <v>137</v>
      </c>
      <c r="B49" s="779" t="s">
        <v>519</v>
      </c>
      <c r="C49" s="779">
        <v>17090</v>
      </c>
      <c r="D49" s="779">
        <v>16950</v>
      </c>
      <c r="E49" s="779">
        <v>16310</v>
      </c>
      <c r="F49" s="780">
        <v>4540</v>
      </c>
      <c r="M49" s="772" t="s">
        <v>520</v>
      </c>
      <c r="N49" s="772" t="s">
        <v>521</v>
      </c>
    </row>
    <row r="50" spans="1:14" ht="14.25" customHeight="1" thickBot="1" x14ac:dyDescent="0.25">
      <c r="A50" s="778" t="s">
        <v>137</v>
      </c>
      <c r="B50" s="772" t="s">
        <v>189</v>
      </c>
      <c r="C50" s="772">
        <v>19040</v>
      </c>
      <c r="D50" s="772">
        <v>16960</v>
      </c>
      <c r="E50" s="772">
        <v>14800</v>
      </c>
      <c r="F50" s="786">
        <v>3940</v>
      </c>
    </row>
    <row r="51" spans="1:14" ht="14.25" customHeight="1" thickBot="1" x14ac:dyDescent="0.25">
      <c r="A51" s="778" t="s">
        <v>137</v>
      </c>
      <c r="B51" s="772" t="s">
        <v>202</v>
      </c>
      <c r="C51" s="772">
        <v>17040</v>
      </c>
      <c r="D51" s="772">
        <v>16930</v>
      </c>
      <c r="E51" s="772">
        <v>15030</v>
      </c>
      <c r="F51" s="786">
        <v>4120</v>
      </c>
    </row>
    <row r="52" spans="1:14" ht="14.25" customHeight="1" thickBot="1" x14ac:dyDescent="0.25">
      <c r="A52" s="778" t="s">
        <v>137</v>
      </c>
      <c r="B52" s="772" t="s">
        <v>215</v>
      </c>
      <c r="C52" s="772">
        <v>17110</v>
      </c>
      <c r="D52" s="772">
        <v>17750</v>
      </c>
      <c r="E52" s="772">
        <v>17310</v>
      </c>
      <c r="F52" s="786">
        <v>3220</v>
      </c>
    </row>
    <row r="53" spans="1:14" ht="14.25" customHeight="1" thickBot="1" x14ac:dyDescent="0.25">
      <c r="A53" s="778" t="s">
        <v>137</v>
      </c>
      <c r="B53" s="772" t="s">
        <v>227</v>
      </c>
      <c r="C53" s="772">
        <v>17810</v>
      </c>
      <c r="D53" s="772">
        <v>17260</v>
      </c>
      <c r="E53" s="772">
        <v>17090</v>
      </c>
      <c r="F53" s="786">
        <v>3520</v>
      </c>
    </row>
    <row r="54" spans="1:14" ht="14.25" customHeight="1" thickBot="1" x14ac:dyDescent="0.25">
      <c r="A54" s="778" t="s">
        <v>137</v>
      </c>
      <c r="B54" s="772" t="s">
        <v>238</v>
      </c>
      <c r="C54" s="772">
        <v>17410</v>
      </c>
      <c r="D54" s="772">
        <v>16780</v>
      </c>
      <c r="E54" s="772">
        <v>16370</v>
      </c>
      <c r="F54" s="786">
        <v>3410</v>
      </c>
    </row>
    <row r="55" spans="1:14" ht="14.25" customHeight="1" thickBot="1" x14ac:dyDescent="0.25">
      <c r="A55" s="778" t="s">
        <v>137</v>
      </c>
      <c r="B55" s="772" t="s">
        <v>249</v>
      </c>
      <c r="C55" s="772">
        <v>16930</v>
      </c>
      <c r="D55" s="772">
        <v>14720</v>
      </c>
      <c r="E55" s="772">
        <v>15000</v>
      </c>
      <c r="F55" s="786">
        <v>3710</v>
      </c>
    </row>
    <row r="56" spans="1:14" ht="14.25" customHeight="1" thickBot="1" x14ac:dyDescent="0.25">
      <c r="A56" s="778" t="s">
        <v>137</v>
      </c>
      <c r="B56" s="772" t="s">
        <v>260</v>
      </c>
      <c r="C56" s="772">
        <v>14930</v>
      </c>
      <c r="D56" s="772">
        <v>15850</v>
      </c>
      <c r="E56" s="772">
        <v>14320</v>
      </c>
      <c r="F56" s="786">
        <v>3960</v>
      </c>
    </row>
    <row r="57" spans="1:14" ht="14.25" customHeight="1" thickBot="1" x14ac:dyDescent="0.25">
      <c r="A57" s="778" t="s">
        <v>137</v>
      </c>
      <c r="B57" s="772" t="s">
        <v>272</v>
      </c>
      <c r="C57" s="772">
        <v>16160</v>
      </c>
      <c r="D57" s="772">
        <v>16190</v>
      </c>
      <c r="E57" s="772">
        <v>15650</v>
      </c>
      <c r="F57" s="786">
        <v>4200</v>
      </c>
    </row>
    <row r="58" spans="1:14" ht="14.25" customHeight="1" thickBot="1" x14ac:dyDescent="0.25">
      <c r="A58" s="778" t="s">
        <v>137</v>
      </c>
      <c r="B58" s="772" t="s">
        <v>282</v>
      </c>
      <c r="C58" s="772">
        <v>16360</v>
      </c>
      <c r="D58" s="772">
        <v>14050</v>
      </c>
      <c r="E58" s="772">
        <v>16070</v>
      </c>
      <c r="F58" s="786">
        <v>3990</v>
      </c>
    </row>
    <row r="59" spans="1:14" ht="14.25" customHeight="1" thickBot="1" x14ac:dyDescent="0.25">
      <c r="A59" s="778" t="s">
        <v>137</v>
      </c>
      <c r="B59" s="772" t="s">
        <v>292</v>
      </c>
      <c r="C59" s="772">
        <v>14160</v>
      </c>
      <c r="D59" s="772">
        <v>16620</v>
      </c>
      <c r="E59" s="772">
        <v>13940</v>
      </c>
      <c r="F59" s="786">
        <v>4260</v>
      </c>
    </row>
    <row r="60" spans="1:14" ht="14.25" customHeight="1" thickBot="1" x14ac:dyDescent="0.25">
      <c r="A60" s="778" t="s">
        <v>137</v>
      </c>
      <c r="B60" s="772" t="s">
        <v>302</v>
      </c>
      <c r="C60" s="772">
        <v>16750</v>
      </c>
      <c r="D60" s="772">
        <v>13910</v>
      </c>
      <c r="E60" s="772">
        <v>16550</v>
      </c>
      <c r="F60" s="786">
        <v>4550</v>
      </c>
    </row>
    <row r="61" spans="1:14" ht="14.25" customHeight="1" thickBot="1" x14ac:dyDescent="0.25">
      <c r="A61" s="778" t="s">
        <v>137</v>
      </c>
      <c r="B61" s="772" t="s">
        <v>312</v>
      </c>
      <c r="C61" s="772">
        <v>14000</v>
      </c>
      <c r="D61" s="772">
        <v>14550</v>
      </c>
      <c r="E61" s="772">
        <v>13860</v>
      </c>
      <c r="F61" s="790"/>
    </row>
    <row r="62" spans="1:14" ht="14.25" customHeight="1" thickBot="1" x14ac:dyDescent="0.25">
      <c r="A62" s="778" t="s">
        <v>137</v>
      </c>
      <c r="B62" s="772" t="s">
        <v>323</v>
      </c>
      <c r="C62" s="772">
        <v>14660</v>
      </c>
      <c r="D62" s="772">
        <v>17450</v>
      </c>
      <c r="E62" s="772">
        <v>14470</v>
      </c>
      <c r="F62" s="790"/>
    </row>
    <row r="63" spans="1:14" ht="14.25" customHeight="1" thickBot="1" x14ac:dyDescent="0.25">
      <c r="A63" s="778" t="s">
        <v>137</v>
      </c>
      <c r="B63" s="772" t="s">
        <v>334</v>
      </c>
      <c r="C63" s="772">
        <v>17610</v>
      </c>
      <c r="D63" s="772">
        <v>16500</v>
      </c>
      <c r="E63" s="772">
        <v>17330</v>
      </c>
      <c r="F63" s="790"/>
    </row>
    <row r="64" spans="1:14" ht="14.25" customHeight="1" thickBot="1" x14ac:dyDescent="0.25">
      <c r="A64" s="778" t="s">
        <v>137</v>
      </c>
      <c r="B64" s="772" t="s">
        <v>344</v>
      </c>
      <c r="C64" s="772">
        <v>16590</v>
      </c>
      <c r="D64" s="772">
        <v>15130</v>
      </c>
      <c r="E64" s="772">
        <v>16420</v>
      </c>
      <c r="F64" s="790"/>
    </row>
    <row r="65" spans="1:6" s="766" customFormat="1" ht="14.25" customHeight="1" thickBot="1" x14ac:dyDescent="0.25">
      <c r="A65" s="778" t="s">
        <v>137</v>
      </c>
      <c r="B65" s="772" t="s">
        <v>354</v>
      </c>
      <c r="C65" s="772">
        <v>15220</v>
      </c>
      <c r="D65" s="772">
        <v>14660</v>
      </c>
      <c r="E65" s="772">
        <v>15060</v>
      </c>
      <c r="F65" s="786"/>
    </row>
    <row r="66" spans="1:6" s="766" customFormat="1" ht="14.25" customHeight="1" thickBot="1" x14ac:dyDescent="0.25">
      <c r="A66" s="778" t="s">
        <v>137</v>
      </c>
      <c r="B66" s="772" t="s">
        <v>364</v>
      </c>
      <c r="C66" s="772">
        <v>14720</v>
      </c>
      <c r="D66" s="772">
        <v>15970</v>
      </c>
      <c r="E66" s="772">
        <v>14610</v>
      </c>
      <c r="F66" s="786"/>
    </row>
    <row r="67" spans="1:6" s="766" customFormat="1" ht="14.25" customHeight="1" thickBot="1" x14ac:dyDescent="0.25">
      <c r="A67" s="778" t="s">
        <v>137</v>
      </c>
      <c r="B67" s="772" t="s">
        <v>374</v>
      </c>
      <c r="C67" s="772">
        <v>16080</v>
      </c>
      <c r="D67" s="772">
        <v>14840</v>
      </c>
      <c r="E67" s="772">
        <v>15630</v>
      </c>
      <c r="F67" s="786"/>
    </row>
    <row r="68" spans="1:6" s="766" customFormat="1" ht="14.25" customHeight="1" thickBot="1" x14ac:dyDescent="0.25">
      <c r="A68" s="778" t="s">
        <v>137</v>
      </c>
      <c r="B68" s="772" t="s">
        <v>383</v>
      </c>
      <c r="C68" s="772">
        <v>14940</v>
      </c>
      <c r="D68" s="772">
        <v>18000</v>
      </c>
      <c r="E68" s="772">
        <v>14040</v>
      </c>
      <c r="F68" s="786"/>
    </row>
    <row r="69" spans="1:6" s="766" customFormat="1" ht="14.25" customHeight="1" thickBot="1" x14ac:dyDescent="0.25">
      <c r="A69" s="778" t="s">
        <v>137</v>
      </c>
      <c r="B69" s="772" t="s">
        <v>392</v>
      </c>
      <c r="C69" s="772">
        <v>18810</v>
      </c>
      <c r="D69" s="772">
        <v>15100</v>
      </c>
      <c r="E69" s="772">
        <v>14710</v>
      </c>
      <c r="F69" s="786"/>
    </row>
    <row r="70" spans="1:6" s="766" customFormat="1" ht="14.25" customHeight="1" thickBot="1" x14ac:dyDescent="0.25">
      <c r="A70" s="778" t="s">
        <v>137</v>
      </c>
      <c r="B70" s="772" t="s">
        <v>400</v>
      </c>
      <c r="C70" s="772">
        <v>18270</v>
      </c>
      <c r="D70" s="772"/>
      <c r="E70" s="772"/>
      <c r="F70" s="786"/>
    </row>
    <row r="71" spans="1:6" s="766" customFormat="1" ht="14.25" customHeight="1" thickBot="1" x14ac:dyDescent="0.25">
      <c r="A71" s="778" t="s">
        <v>137</v>
      </c>
      <c r="B71" s="772" t="s">
        <v>407</v>
      </c>
      <c r="C71" s="772">
        <v>15230</v>
      </c>
      <c r="D71" s="772"/>
      <c r="E71" s="772"/>
      <c r="F71" s="786"/>
    </row>
    <row r="72" spans="1:6" s="766" customFormat="1" ht="14.25" customHeight="1" thickBot="1" x14ac:dyDescent="0.25">
      <c r="A72" s="778" t="s">
        <v>137</v>
      </c>
      <c r="B72" s="772" t="s">
        <v>414</v>
      </c>
      <c r="C72" s="772"/>
      <c r="D72" s="772"/>
      <c r="E72" s="772"/>
      <c r="F72" s="786">
        <v>4120</v>
      </c>
    </row>
    <row r="73" spans="1:6" s="766" customFormat="1" ht="14.25" customHeight="1" thickBot="1" x14ac:dyDescent="0.25">
      <c r="A73" s="778" t="s">
        <v>137</v>
      </c>
      <c r="B73" s="772" t="s">
        <v>421</v>
      </c>
      <c r="C73" s="772"/>
      <c r="D73" s="772"/>
      <c r="E73" s="772"/>
      <c r="F73" s="786">
        <v>3930</v>
      </c>
    </row>
    <row r="74" spans="1:6" s="766" customFormat="1" ht="14.25" customHeight="1" thickBot="1" x14ac:dyDescent="0.25">
      <c r="A74" s="778" t="s">
        <v>137</v>
      </c>
      <c r="B74" s="772" t="s">
        <v>428</v>
      </c>
      <c r="C74" s="772"/>
      <c r="D74" s="772"/>
      <c r="E74" s="772"/>
      <c r="F74" s="786">
        <v>4060</v>
      </c>
    </row>
    <row r="75" spans="1:6" s="766" customFormat="1" ht="14.25" customHeight="1" thickBot="1" x14ac:dyDescent="0.25">
      <c r="A75" s="778" t="s">
        <v>137</v>
      </c>
      <c r="B75" s="784" t="s">
        <v>435</v>
      </c>
      <c r="C75" s="784"/>
      <c r="D75" s="784"/>
      <c r="E75" s="784"/>
      <c r="F75" s="789">
        <v>3750</v>
      </c>
    </row>
    <row r="76" spans="1:6" s="766" customFormat="1" ht="14.25" customHeight="1" thickBot="1" x14ac:dyDescent="0.25">
      <c r="A76" s="778" t="s">
        <v>522</v>
      </c>
      <c r="B76" s="779" t="s">
        <v>523</v>
      </c>
      <c r="C76" s="779">
        <v>14690</v>
      </c>
      <c r="D76" s="779">
        <v>14640</v>
      </c>
      <c r="E76" s="779">
        <v>14590</v>
      </c>
      <c r="F76" s="780">
        <v>3060</v>
      </c>
    </row>
    <row r="77" spans="1:6" s="766" customFormat="1" ht="14.25" customHeight="1" thickBot="1" x14ac:dyDescent="0.25">
      <c r="A77" s="778" t="s">
        <v>522</v>
      </c>
      <c r="B77" s="772" t="s">
        <v>190</v>
      </c>
      <c r="C77" s="772">
        <v>12550</v>
      </c>
      <c r="D77" s="772">
        <v>12480</v>
      </c>
      <c r="E77" s="772">
        <v>12450</v>
      </c>
      <c r="F77" s="786">
        <v>2590</v>
      </c>
    </row>
    <row r="78" spans="1:6" s="766" customFormat="1" ht="14.25" customHeight="1" thickBot="1" x14ac:dyDescent="0.25">
      <c r="A78" s="778" t="s">
        <v>522</v>
      </c>
      <c r="B78" s="772" t="s">
        <v>203</v>
      </c>
      <c r="C78" s="772">
        <v>14360</v>
      </c>
      <c r="D78" s="772">
        <v>14320</v>
      </c>
      <c r="E78" s="772">
        <v>12510</v>
      </c>
      <c r="F78" s="786">
        <v>2700</v>
      </c>
    </row>
    <row r="79" spans="1:6" s="766" customFormat="1" ht="14.25" customHeight="1" thickBot="1" x14ac:dyDescent="0.25">
      <c r="A79" s="778" t="s">
        <v>522</v>
      </c>
      <c r="B79" s="772" t="s">
        <v>216</v>
      </c>
      <c r="C79" s="772">
        <v>12590</v>
      </c>
      <c r="D79" s="772">
        <v>12540</v>
      </c>
      <c r="E79" s="772">
        <v>12350</v>
      </c>
      <c r="F79" s="786">
        <v>2740</v>
      </c>
    </row>
    <row r="80" spans="1:6" s="766" customFormat="1" ht="14.25" customHeight="1" thickBot="1" x14ac:dyDescent="0.25">
      <c r="A80" s="778" t="s">
        <v>522</v>
      </c>
      <c r="B80" s="772" t="s">
        <v>228</v>
      </c>
      <c r="C80" s="772">
        <v>12450</v>
      </c>
      <c r="D80" s="772">
        <v>12370</v>
      </c>
      <c r="E80" s="772">
        <v>10790</v>
      </c>
      <c r="F80" s="786">
        <v>2290</v>
      </c>
    </row>
    <row r="81" spans="1:6" s="766" customFormat="1" ht="14.25" customHeight="1" thickBot="1" x14ac:dyDescent="0.25">
      <c r="A81" s="778" t="s">
        <v>522</v>
      </c>
      <c r="B81" s="772" t="s">
        <v>239</v>
      </c>
      <c r="C81" s="772">
        <v>14210</v>
      </c>
      <c r="D81" s="772">
        <v>14150</v>
      </c>
      <c r="E81" s="772">
        <v>12730</v>
      </c>
      <c r="F81" s="786">
        <v>2240</v>
      </c>
    </row>
    <row r="82" spans="1:6" s="766" customFormat="1" ht="14.25" customHeight="1" thickBot="1" x14ac:dyDescent="0.25">
      <c r="A82" s="778" t="s">
        <v>522</v>
      </c>
      <c r="B82" s="772" t="s">
        <v>250</v>
      </c>
      <c r="C82" s="772">
        <v>10860</v>
      </c>
      <c r="D82" s="772">
        <v>10820</v>
      </c>
      <c r="E82" s="772">
        <v>14720</v>
      </c>
      <c r="F82" s="786">
        <v>2490</v>
      </c>
    </row>
    <row r="83" spans="1:6" s="766" customFormat="1" ht="14.25" customHeight="1" thickBot="1" x14ac:dyDescent="0.25">
      <c r="A83" s="778" t="s">
        <v>522</v>
      </c>
      <c r="B83" s="772" t="s">
        <v>261</v>
      </c>
      <c r="C83" s="772">
        <v>12810</v>
      </c>
      <c r="D83" s="772">
        <v>12760</v>
      </c>
      <c r="E83" s="772">
        <v>14830</v>
      </c>
      <c r="F83" s="786">
        <v>2450</v>
      </c>
    </row>
    <row r="84" spans="1:6" s="766" customFormat="1" ht="14.25" customHeight="1" thickBot="1" x14ac:dyDescent="0.25">
      <c r="A84" s="778" t="s">
        <v>522</v>
      </c>
      <c r="B84" s="772" t="s">
        <v>273</v>
      </c>
      <c r="C84" s="772">
        <v>14950</v>
      </c>
      <c r="D84" s="772">
        <v>14810</v>
      </c>
      <c r="E84" s="772">
        <v>12590</v>
      </c>
      <c r="F84" s="786">
        <v>2540</v>
      </c>
    </row>
    <row r="85" spans="1:6" s="766" customFormat="1" ht="14.25" customHeight="1" thickBot="1" x14ac:dyDescent="0.25">
      <c r="A85" s="778" t="s">
        <v>522</v>
      </c>
      <c r="B85" s="772" t="s">
        <v>283</v>
      </c>
      <c r="C85" s="772">
        <v>14960</v>
      </c>
      <c r="D85" s="772">
        <v>14890</v>
      </c>
      <c r="E85" s="772">
        <v>12840</v>
      </c>
      <c r="F85" s="786">
        <v>2840</v>
      </c>
    </row>
    <row r="86" spans="1:6" s="766" customFormat="1" ht="14.25" customHeight="1" thickBot="1" x14ac:dyDescent="0.25">
      <c r="A86" s="778" t="s">
        <v>522</v>
      </c>
      <c r="B86" s="772" t="s">
        <v>293</v>
      </c>
      <c r="C86" s="772">
        <v>12730</v>
      </c>
      <c r="D86" s="772">
        <v>12660</v>
      </c>
      <c r="E86" s="772">
        <v>13310</v>
      </c>
      <c r="F86" s="786">
        <v>3140</v>
      </c>
    </row>
    <row r="87" spans="1:6" s="766" customFormat="1" ht="14.25" customHeight="1" thickBot="1" x14ac:dyDescent="0.25">
      <c r="A87" s="778" t="s">
        <v>522</v>
      </c>
      <c r="B87" s="772" t="s">
        <v>303</v>
      </c>
      <c r="C87" s="772">
        <v>12940</v>
      </c>
      <c r="D87" s="772">
        <v>12890</v>
      </c>
      <c r="E87" s="772">
        <v>11580</v>
      </c>
      <c r="F87" s="790"/>
    </row>
    <row r="88" spans="1:6" s="766" customFormat="1" ht="14.25" customHeight="1" thickBot="1" x14ac:dyDescent="0.25">
      <c r="A88" s="778" t="s">
        <v>522</v>
      </c>
      <c r="B88" s="772" t="s">
        <v>313</v>
      </c>
      <c r="C88" s="772">
        <v>13430</v>
      </c>
      <c r="D88" s="772">
        <v>13360</v>
      </c>
      <c r="E88" s="772">
        <v>12790</v>
      </c>
      <c r="F88" s="790"/>
    </row>
    <row r="89" spans="1:6" s="766" customFormat="1" ht="14.25" customHeight="1" thickBot="1" x14ac:dyDescent="0.25">
      <c r="A89" s="778" t="s">
        <v>522</v>
      </c>
      <c r="B89" s="772" t="s">
        <v>324</v>
      </c>
      <c r="C89" s="772">
        <v>11680</v>
      </c>
      <c r="D89" s="772">
        <v>11630</v>
      </c>
      <c r="E89" s="772">
        <v>11320</v>
      </c>
      <c r="F89" s="790"/>
    </row>
    <row r="90" spans="1:6" s="766" customFormat="1" ht="14.25" customHeight="1" thickBot="1" x14ac:dyDescent="0.25">
      <c r="A90" s="778" t="s">
        <v>522</v>
      </c>
      <c r="B90" s="772" t="s">
        <v>335</v>
      </c>
      <c r="C90" s="772">
        <v>12890</v>
      </c>
      <c r="D90" s="772">
        <v>12820</v>
      </c>
      <c r="E90" s="772">
        <v>12710</v>
      </c>
      <c r="F90" s="790"/>
    </row>
    <row r="91" spans="1:6" s="766" customFormat="1" ht="14.25" customHeight="1" thickBot="1" x14ac:dyDescent="0.25">
      <c r="A91" s="778" t="s">
        <v>522</v>
      </c>
      <c r="B91" s="772" t="s">
        <v>345</v>
      </c>
      <c r="C91" s="772">
        <v>11410</v>
      </c>
      <c r="D91" s="772">
        <v>11360</v>
      </c>
      <c r="E91" s="772">
        <v>12670</v>
      </c>
      <c r="F91" s="790"/>
    </row>
    <row r="92" spans="1:6" s="766" customFormat="1" ht="14.25" customHeight="1" thickBot="1" x14ac:dyDescent="0.25">
      <c r="A92" s="778" t="s">
        <v>522</v>
      </c>
      <c r="B92" s="772" t="s">
        <v>355</v>
      </c>
      <c r="C92" s="772">
        <v>12770</v>
      </c>
      <c r="D92" s="772">
        <v>12740</v>
      </c>
      <c r="E92" s="772">
        <v>11970</v>
      </c>
      <c r="F92" s="790"/>
    </row>
    <row r="93" spans="1:6" s="766" customFormat="1" ht="14.25" customHeight="1" thickBot="1" x14ac:dyDescent="0.25">
      <c r="A93" s="778" t="s">
        <v>522</v>
      </c>
      <c r="B93" s="772" t="s">
        <v>365</v>
      </c>
      <c r="C93" s="772">
        <v>12740</v>
      </c>
      <c r="D93" s="772">
        <v>12700</v>
      </c>
      <c r="E93" s="772">
        <v>12540</v>
      </c>
      <c r="F93" s="790"/>
    </row>
    <row r="94" spans="1:6" s="766" customFormat="1" ht="14.25" customHeight="1" thickBot="1" x14ac:dyDescent="0.25">
      <c r="A94" s="778" t="s">
        <v>522</v>
      </c>
      <c r="B94" s="772" t="s">
        <v>375</v>
      </c>
      <c r="C94" s="772">
        <v>12020</v>
      </c>
      <c r="D94" s="772">
        <v>11990</v>
      </c>
      <c r="E94" s="772">
        <v>13110</v>
      </c>
      <c r="F94" s="790"/>
    </row>
    <row r="95" spans="1:6" s="766" customFormat="1" ht="14.25" customHeight="1" thickBot="1" x14ac:dyDescent="0.25">
      <c r="A95" s="778" t="s">
        <v>522</v>
      </c>
      <c r="B95" s="772" t="s">
        <v>384</v>
      </c>
      <c r="C95" s="772">
        <v>12620</v>
      </c>
      <c r="D95" s="772">
        <v>12580</v>
      </c>
      <c r="E95" s="772">
        <v>13160</v>
      </c>
      <c r="F95" s="786"/>
    </row>
    <row r="96" spans="1:6" s="766" customFormat="1" ht="14.25" customHeight="1" thickBot="1" x14ac:dyDescent="0.25">
      <c r="A96" s="778" t="s">
        <v>522</v>
      </c>
      <c r="B96" s="772" t="s">
        <v>393</v>
      </c>
      <c r="C96" s="772">
        <v>13200</v>
      </c>
      <c r="D96" s="772">
        <v>13150</v>
      </c>
      <c r="E96" s="772">
        <v>12900</v>
      </c>
      <c r="F96" s="786"/>
    </row>
    <row r="97" spans="1:6" s="766" customFormat="1" ht="14.25" customHeight="1" thickBot="1" x14ac:dyDescent="0.25">
      <c r="A97" s="778" t="s">
        <v>522</v>
      </c>
      <c r="B97" s="772" t="s">
        <v>401</v>
      </c>
      <c r="C97" s="772">
        <v>13270</v>
      </c>
      <c r="D97" s="772">
        <v>13210</v>
      </c>
      <c r="E97" s="772">
        <v>11080</v>
      </c>
      <c r="F97" s="786"/>
    </row>
    <row r="98" spans="1:6" s="766" customFormat="1" ht="14.25" customHeight="1" thickBot="1" x14ac:dyDescent="0.25">
      <c r="A98" s="778" t="s">
        <v>522</v>
      </c>
      <c r="B98" s="772" t="s">
        <v>408</v>
      </c>
      <c r="C98" s="772">
        <v>13010</v>
      </c>
      <c r="D98" s="772">
        <v>12930</v>
      </c>
      <c r="E98" s="772">
        <v>12840</v>
      </c>
      <c r="F98" s="786"/>
    </row>
    <row r="99" spans="1:6" s="766" customFormat="1" ht="14.25" customHeight="1" thickBot="1" x14ac:dyDescent="0.25">
      <c r="A99" s="778" t="s">
        <v>522</v>
      </c>
      <c r="B99" s="772" t="s">
        <v>415</v>
      </c>
      <c r="C99" s="772">
        <v>11190</v>
      </c>
      <c r="D99" s="772">
        <v>11130</v>
      </c>
      <c r="E99" s="772"/>
      <c r="F99" s="786"/>
    </row>
    <row r="100" spans="1:6" s="766" customFormat="1" ht="14.25" customHeight="1" thickBot="1" x14ac:dyDescent="0.25">
      <c r="A100" s="778" t="s">
        <v>522</v>
      </c>
      <c r="B100" s="772" t="s">
        <v>422</v>
      </c>
      <c r="C100" s="772">
        <v>14280</v>
      </c>
      <c r="D100" s="772">
        <v>14180</v>
      </c>
      <c r="E100" s="772"/>
      <c r="F100" s="786"/>
    </row>
    <row r="101" spans="1:6" s="766" customFormat="1" ht="14.25" customHeight="1" thickBot="1" x14ac:dyDescent="0.25">
      <c r="A101" s="778" t="s">
        <v>522</v>
      </c>
      <c r="B101" s="772" t="s">
        <v>429</v>
      </c>
      <c r="C101" s="772">
        <v>12960</v>
      </c>
      <c r="D101" s="772">
        <v>12890</v>
      </c>
      <c r="E101" s="772"/>
      <c r="F101" s="786"/>
    </row>
    <row r="102" spans="1:6" s="766" customFormat="1" ht="14.25" customHeight="1" thickBot="1" x14ac:dyDescent="0.25">
      <c r="A102" s="778" t="s">
        <v>522</v>
      </c>
      <c r="B102" s="772" t="s">
        <v>436</v>
      </c>
      <c r="C102" s="772"/>
      <c r="D102" s="772"/>
      <c r="E102" s="772"/>
      <c r="F102" s="786">
        <v>3100</v>
      </c>
    </row>
    <row r="103" spans="1:6" s="766" customFormat="1" ht="14.25" customHeight="1" thickBot="1" x14ac:dyDescent="0.25">
      <c r="A103" s="778" t="s">
        <v>522</v>
      </c>
      <c r="B103" s="772" t="s">
        <v>443</v>
      </c>
      <c r="C103" s="772"/>
      <c r="D103" s="772"/>
      <c r="E103" s="772"/>
      <c r="F103" s="786">
        <v>2320</v>
      </c>
    </row>
    <row r="104" spans="1:6" s="766" customFormat="1" ht="14.25" customHeight="1" thickBot="1" x14ac:dyDescent="0.25">
      <c r="A104" s="778" t="s">
        <v>522</v>
      </c>
      <c r="B104" s="772" t="s">
        <v>448</v>
      </c>
      <c r="C104" s="772"/>
      <c r="D104" s="772"/>
      <c r="E104" s="772"/>
      <c r="F104" s="786">
        <v>2320</v>
      </c>
    </row>
    <row r="105" spans="1:6" s="766" customFormat="1" ht="14.25" customHeight="1" thickBot="1" x14ac:dyDescent="0.25">
      <c r="A105" s="778" t="s">
        <v>522</v>
      </c>
      <c r="B105" s="772" t="s">
        <v>452</v>
      </c>
      <c r="C105" s="772"/>
      <c r="D105" s="772"/>
      <c r="E105" s="772"/>
      <c r="F105" s="786">
        <v>2320</v>
      </c>
    </row>
    <row r="106" spans="1:6" s="766" customFormat="1" ht="14.25" customHeight="1" thickBot="1" x14ac:dyDescent="0.25">
      <c r="A106" s="778" t="s">
        <v>522</v>
      </c>
      <c r="B106" s="772" t="s">
        <v>457</v>
      </c>
      <c r="C106" s="772"/>
      <c r="D106" s="772"/>
      <c r="E106" s="772"/>
      <c r="F106" s="786">
        <v>2320</v>
      </c>
    </row>
    <row r="107" spans="1:6" s="766" customFormat="1" ht="14.25" customHeight="1" thickBot="1" x14ac:dyDescent="0.25">
      <c r="A107" s="778" t="s">
        <v>522</v>
      </c>
      <c r="B107" s="772" t="s">
        <v>462</v>
      </c>
      <c r="C107" s="772"/>
      <c r="D107" s="772"/>
      <c r="E107" s="772"/>
      <c r="F107" s="786">
        <v>2280</v>
      </c>
    </row>
    <row r="108" spans="1:6" s="766" customFormat="1" ht="14.25" customHeight="1" thickBot="1" x14ac:dyDescent="0.25">
      <c r="A108" s="778" t="s">
        <v>522</v>
      </c>
      <c r="B108" s="772" t="s">
        <v>467</v>
      </c>
      <c r="C108" s="772"/>
      <c r="D108" s="772"/>
      <c r="E108" s="772"/>
      <c r="F108" s="786">
        <v>2280</v>
      </c>
    </row>
    <row r="109" spans="1:6" s="766" customFormat="1" ht="14.25" customHeight="1" thickBot="1" x14ac:dyDescent="0.25">
      <c r="A109" s="778" t="s">
        <v>522</v>
      </c>
      <c r="B109" s="784" t="s">
        <v>472</v>
      </c>
      <c r="C109" s="784"/>
      <c r="D109" s="784"/>
      <c r="E109" s="784"/>
      <c r="F109" s="789">
        <v>2280</v>
      </c>
    </row>
    <row r="110" spans="1:6" s="766" customFormat="1" ht="14.25" customHeight="1" thickBot="1" x14ac:dyDescent="0.25">
      <c r="A110" s="778" t="s">
        <v>56</v>
      </c>
      <c r="B110" s="779" t="s">
        <v>524</v>
      </c>
      <c r="C110" s="779">
        <v>10520</v>
      </c>
      <c r="D110" s="779">
        <v>10490</v>
      </c>
      <c r="E110" s="779">
        <v>10760</v>
      </c>
      <c r="F110" s="780">
        <v>2160</v>
      </c>
    </row>
    <row r="111" spans="1:6" s="766" customFormat="1" ht="14.25" customHeight="1" thickBot="1" x14ac:dyDescent="0.25">
      <c r="A111" s="778" t="s">
        <v>56</v>
      </c>
      <c r="B111" s="772" t="s">
        <v>191</v>
      </c>
      <c r="C111" s="772">
        <v>10090</v>
      </c>
      <c r="D111" s="772">
        <v>10060</v>
      </c>
      <c r="E111" s="772">
        <v>10300</v>
      </c>
      <c r="F111" s="786">
        <v>2010</v>
      </c>
    </row>
    <row r="112" spans="1:6" s="766" customFormat="1" ht="14.25" customHeight="1" thickBot="1" x14ac:dyDescent="0.25">
      <c r="A112" s="778" t="s">
        <v>56</v>
      </c>
      <c r="B112" s="772" t="s">
        <v>204</v>
      </c>
      <c r="C112" s="772">
        <v>9910</v>
      </c>
      <c r="D112" s="772">
        <v>9850</v>
      </c>
      <c r="E112" s="772">
        <v>9960</v>
      </c>
      <c r="F112" s="786">
        <v>2090</v>
      </c>
    </row>
    <row r="113" spans="1:6" s="766" customFormat="1" ht="14.25" customHeight="1" thickBot="1" x14ac:dyDescent="0.25">
      <c r="A113" s="778" t="s">
        <v>56</v>
      </c>
      <c r="B113" s="772" t="s">
        <v>217</v>
      </c>
      <c r="C113" s="772">
        <v>11430</v>
      </c>
      <c r="D113" s="772">
        <v>11400</v>
      </c>
      <c r="E113" s="772">
        <v>11710</v>
      </c>
      <c r="F113" s="786">
        <v>2050</v>
      </c>
    </row>
    <row r="114" spans="1:6" s="766" customFormat="1" ht="14.25" customHeight="1" thickBot="1" x14ac:dyDescent="0.25">
      <c r="A114" s="778" t="s">
        <v>56</v>
      </c>
      <c r="B114" s="772" t="s">
        <v>229</v>
      </c>
      <c r="C114" s="772">
        <v>11390</v>
      </c>
      <c r="D114" s="772">
        <v>11350</v>
      </c>
      <c r="E114" s="772">
        <v>11640</v>
      </c>
      <c r="F114" s="786">
        <v>1620</v>
      </c>
    </row>
    <row r="115" spans="1:6" s="766" customFormat="1" ht="14.25" customHeight="1" thickBot="1" x14ac:dyDescent="0.25">
      <c r="A115" s="778" t="s">
        <v>56</v>
      </c>
      <c r="B115" s="772" t="s">
        <v>240</v>
      </c>
      <c r="C115" s="772">
        <v>9930</v>
      </c>
      <c r="D115" s="772">
        <v>9900</v>
      </c>
      <c r="E115" s="772">
        <v>10160</v>
      </c>
      <c r="F115" s="786">
        <v>1580</v>
      </c>
    </row>
    <row r="116" spans="1:6" s="766" customFormat="1" ht="14.25" customHeight="1" thickBot="1" x14ac:dyDescent="0.25">
      <c r="A116" s="778" t="s">
        <v>56</v>
      </c>
      <c r="B116" s="772" t="s">
        <v>251</v>
      </c>
      <c r="C116" s="772">
        <v>9150</v>
      </c>
      <c r="D116" s="772">
        <v>9120</v>
      </c>
      <c r="E116" s="772">
        <v>9380</v>
      </c>
      <c r="F116" s="786">
        <v>1750</v>
      </c>
    </row>
    <row r="117" spans="1:6" s="766" customFormat="1" ht="14.25" customHeight="1" thickBot="1" x14ac:dyDescent="0.25">
      <c r="A117" s="778" t="s">
        <v>56</v>
      </c>
      <c r="B117" s="772" t="s">
        <v>262</v>
      </c>
      <c r="C117" s="772">
        <v>10680</v>
      </c>
      <c r="D117" s="772">
        <v>10650</v>
      </c>
      <c r="E117" s="772">
        <v>10970</v>
      </c>
      <c r="F117" s="786">
        <v>1730</v>
      </c>
    </row>
    <row r="118" spans="1:6" s="766" customFormat="1" ht="14.25" customHeight="1" thickBot="1" x14ac:dyDescent="0.25">
      <c r="A118" s="778" t="s">
        <v>56</v>
      </c>
      <c r="B118" s="772" t="s">
        <v>274</v>
      </c>
      <c r="C118" s="772">
        <v>10080</v>
      </c>
      <c r="D118" s="772">
        <v>10050</v>
      </c>
      <c r="E118" s="772">
        <v>10350</v>
      </c>
      <c r="F118" s="786">
        <v>1920</v>
      </c>
    </row>
    <row r="119" spans="1:6" s="766" customFormat="1" ht="14.25" customHeight="1" thickBot="1" x14ac:dyDescent="0.25">
      <c r="A119" s="778" t="s">
        <v>56</v>
      </c>
      <c r="B119" s="772" t="s">
        <v>284</v>
      </c>
      <c r="C119" s="772">
        <v>9450</v>
      </c>
      <c r="D119" s="772">
        <v>9410</v>
      </c>
      <c r="E119" s="772">
        <v>9680</v>
      </c>
      <c r="F119" s="786">
        <v>1880</v>
      </c>
    </row>
    <row r="120" spans="1:6" s="766" customFormat="1" ht="14.25" customHeight="1" thickBot="1" x14ac:dyDescent="0.25">
      <c r="A120" s="778" t="s">
        <v>56</v>
      </c>
      <c r="B120" s="772" t="s">
        <v>294</v>
      </c>
      <c r="C120" s="772">
        <v>8730</v>
      </c>
      <c r="D120" s="772">
        <v>8700</v>
      </c>
      <c r="E120" s="772">
        <v>8950</v>
      </c>
      <c r="F120" s="786">
        <v>1830</v>
      </c>
    </row>
    <row r="121" spans="1:6" s="766" customFormat="1" ht="14.25" customHeight="1" thickBot="1" x14ac:dyDescent="0.25">
      <c r="A121" s="778" t="s">
        <v>56</v>
      </c>
      <c r="B121" s="772" t="s">
        <v>304</v>
      </c>
      <c r="C121" s="772">
        <v>10070</v>
      </c>
      <c r="D121" s="772">
        <v>10040</v>
      </c>
      <c r="E121" s="772">
        <v>10270</v>
      </c>
      <c r="F121" s="786">
        <v>1960</v>
      </c>
    </row>
    <row r="122" spans="1:6" s="766" customFormat="1" ht="14.25" customHeight="1" thickBot="1" x14ac:dyDescent="0.25">
      <c r="A122" s="778" t="s">
        <v>56</v>
      </c>
      <c r="B122" s="772" t="s">
        <v>314</v>
      </c>
      <c r="C122" s="772">
        <v>10500</v>
      </c>
      <c r="D122" s="772">
        <v>10470</v>
      </c>
      <c r="E122" s="772">
        <v>10780</v>
      </c>
      <c r="F122" s="786">
        <v>2180</v>
      </c>
    </row>
    <row r="123" spans="1:6" s="766" customFormat="1" ht="14.25" customHeight="1" thickBot="1" x14ac:dyDescent="0.25">
      <c r="A123" s="778" t="s">
        <v>56</v>
      </c>
      <c r="B123" s="772" t="s">
        <v>325</v>
      </c>
      <c r="C123" s="772">
        <v>10390</v>
      </c>
      <c r="D123" s="772">
        <v>10360</v>
      </c>
      <c r="E123" s="772">
        <v>10660</v>
      </c>
      <c r="F123" s="786">
        <v>2040</v>
      </c>
    </row>
    <row r="124" spans="1:6" s="766" customFormat="1" ht="14.25" customHeight="1" thickBot="1" x14ac:dyDescent="0.25">
      <c r="A124" s="778" t="s">
        <v>56</v>
      </c>
      <c r="B124" s="772" t="s">
        <v>336</v>
      </c>
      <c r="C124" s="772">
        <v>10390</v>
      </c>
      <c r="D124" s="772">
        <v>10360</v>
      </c>
      <c r="E124" s="772">
        <v>10680</v>
      </c>
      <c r="F124" s="790"/>
    </row>
    <row r="125" spans="1:6" s="766" customFormat="1" ht="14.25" customHeight="1" thickBot="1" x14ac:dyDescent="0.25">
      <c r="A125" s="778" t="s">
        <v>56</v>
      </c>
      <c r="B125" s="772" t="s">
        <v>346</v>
      </c>
      <c r="C125" s="772">
        <v>10440</v>
      </c>
      <c r="D125" s="772">
        <v>10410</v>
      </c>
      <c r="E125" s="772">
        <v>10710</v>
      </c>
      <c r="F125" s="790"/>
    </row>
    <row r="126" spans="1:6" s="766" customFormat="1" ht="14.25" customHeight="1" thickBot="1" x14ac:dyDescent="0.25">
      <c r="A126" s="778" t="s">
        <v>56</v>
      </c>
      <c r="B126" s="772" t="s">
        <v>356</v>
      </c>
      <c r="C126" s="772">
        <v>10780</v>
      </c>
      <c r="D126" s="772">
        <v>10750</v>
      </c>
      <c r="E126" s="772">
        <v>11080</v>
      </c>
      <c r="F126" s="790"/>
    </row>
    <row r="127" spans="1:6" s="766" customFormat="1" ht="14.25" customHeight="1" thickBot="1" x14ac:dyDescent="0.25">
      <c r="A127" s="778" t="s">
        <v>56</v>
      </c>
      <c r="B127" s="772" t="s">
        <v>366</v>
      </c>
      <c r="C127" s="772">
        <v>10100</v>
      </c>
      <c r="D127" s="772">
        <v>10070</v>
      </c>
      <c r="E127" s="772">
        <v>10350</v>
      </c>
      <c r="F127" s="790"/>
    </row>
    <row r="128" spans="1:6" s="766" customFormat="1" ht="14.25" customHeight="1" thickBot="1" x14ac:dyDescent="0.25">
      <c r="A128" s="778" t="s">
        <v>56</v>
      </c>
      <c r="B128" s="772" t="s">
        <v>376</v>
      </c>
      <c r="C128" s="772">
        <v>9200</v>
      </c>
      <c r="D128" s="772">
        <v>9160</v>
      </c>
      <c r="E128" s="772">
        <v>9660</v>
      </c>
      <c r="F128" s="790"/>
    </row>
    <row r="129" spans="1:6" s="766" customFormat="1" ht="14.25" customHeight="1" thickBot="1" x14ac:dyDescent="0.25">
      <c r="A129" s="778" t="s">
        <v>56</v>
      </c>
      <c r="B129" s="772" t="s">
        <v>385</v>
      </c>
      <c r="C129" s="772">
        <v>10340</v>
      </c>
      <c r="D129" s="772">
        <v>10310</v>
      </c>
      <c r="E129" s="772">
        <v>10580</v>
      </c>
      <c r="F129" s="790"/>
    </row>
    <row r="130" spans="1:6" s="766" customFormat="1" ht="14.25" customHeight="1" thickBot="1" x14ac:dyDescent="0.25">
      <c r="A130" s="778" t="s">
        <v>56</v>
      </c>
      <c r="B130" s="772" t="s">
        <v>394</v>
      </c>
      <c r="C130" s="772">
        <v>9680</v>
      </c>
      <c r="D130" s="772">
        <v>9660</v>
      </c>
      <c r="E130" s="772">
        <v>9950</v>
      </c>
      <c r="F130" s="790"/>
    </row>
    <row r="131" spans="1:6" s="766" customFormat="1" ht="14.25" customHeight="1" thickBot="1" x14ac:dyDescent="0.25">
      <c r="A131" s="778" t="s">
        <v>56</v>
      </c>
      <c r="B131" s="772" t="s">
        <v>402</v>
      </c>
      <c r="C131" s="772">
        <v>9540</v>
      </c>
      <c r="D131" s="772">
        <v>9510</v>
      </c>
      <c r="E131" s="772">
        <v>9790</v>
      </c>
      <c r="F131" s="790"/>
    </row>
    <row r="132" spans="1:6" s="766" customFormat="1" ht="14.25" customHeight="1" thickBot="1" x14ac:dyDescent="0.25">
      <c r="A132" s="778" t="s">
        <v>56</v>
      </c>
      <c r="B132" s="772" t="s">
        <v>409</v>
      </c>
      <c r="C132" s="772">
        <v>9320</v>
      </c>
      <c r="D132" s="772">
        <v>9290</v>
      </c>
      <c r="E132" s="772">
        <v>9570</v>
      </c>
      <c r="F132" s="790"/>
    </row>
    <row r="133" spans="1:6" s="766" customFormat="1" ht="14.25" customHeight="1" thickBot="1" x14ac:dyDescent="0.25">
      <c r="A133" s="778" t="s">
        <v>56</v>
      </c>
      <c r="B133" s="772" t="s">
        <v>416</v>
      </c>
      <c r="C133" s="772">
        <v>10310</v>
      </c>
      <c r="D133" s="772">
        <v>10280</v>
      </c>
      <c r="E133" s="772">
        <v>10530</v>
      </c>
      <c r="F133" s="790"/>
    </row>
    <row r="134" spans="1:6" s="766" customFormat="1" ht="14.25" customHeight="1" thickBot="1" x14ac:dyDescent="0.25">
      <c r="A134" s="778" t="s">
        <v>56</v>
      </c>
      <c r="B134" s="772" t="s">
        <v>423</v>
      </c>
      <c r="C134" s="772">
        <v>10370</v>
      </c>
      <c r="D134" s="772">
        <v>10310</v>
      </c>
      <c r="E134" s="772">
        <v>10240</v>
      </c>
      <c r="F134" s="786">
        <v>2060</v>
      </c>
    </row>
    <row r="135" spans="1:6" s="766" customFormat="1" ht="14.25" customHeight="1" thickBot="1" x14ac:dyDescent="0.25">
      <c r="A135" s="778" t="s">
        <v>56</v>
      </c>
      <c r="B135" s="772" t="s">
        <v>430</v>
      </c>
      <c r="C135" s="772">
        <v>9300</v>
      </c>
      <c r="D135" s="772">
        <v>9270</v>
      </c>
      <c r="E135" s="772">
        <v>9350</v>
      </c>
      <c r="F135" s="790"/>
    </row>
    <row r="136" spans="1:6" s="766" customFormat="1" ht="14.25" customHeight="1" thickBot="1" x14ac:dyDescent="0.25">
      <c r="A136" s="778" t="s">
        <v>56</v>
      </c>
      <c r="B136" s="772" t="s">
        <v>437</v>
      </c>
      <c r="C136" s="772">
        <v>10160</v>
      </c>
      <c r="D136" s="772">
        <v>10110</v>
      </c>
      <c r="E136" s="772">
        <v>10080</v>
      </c>
      <c r="F136" s="790"/>
    </row>
    <row r="137" spans="1:6" s="766" customFormat="1" ht="14.25" customHeight="1" thickBot="1" x14ac:dyDescent="0.25">
      <c r="A137" s="778" t="s">
        <v>56</v>
      </c>
      <c r="B137" s="772" t="s">
        <v>444</v>
      </c>
      <c r="C137" s="772">
        <v>9200</v>
      </c>
      <c r="D137" s="772">
        <v>9170</v>
      </c>
      <c r="E137" s="772">
        <v>9450</v>
      </c>
      <c r="F137" s="790"/>
    </row>
    <row r="138" spans="1:6" s="766" customFormat="1" ht="14.25" customHeight="1" thickBot="1" x14ac:dyDescent="0.25">
      <c r="A138" s="778" t="s">
        <v>56</v>
      </c>
      <c r="B138" s="772" t="s">
        <v>449</v>
      </c>
      <c r="C138" s="772">
        <v>9690</v>
      </c>
      <c r="D138" s="772">
        <v>9660</v>
      </c>
      <c r="E138" s="772">
        <v>9840</v>
      </c>
      <c r="F138" s="790"/>
    </row>
    <row r="139" spans="1:6" s="766" customFormat="1" ht="14.25" customHeight="1" thickBot="1" x14ac:dyDescent="0.25">
      <c r="A139" s="778" t="s">
        <v>56</v>
      </c>
      <c r="B139" s="772" t="s">
        <v>453</v>
      </c>
      <c r="C139" s="772">
        <v>10290</v>
      </c>
      <c r="D139" s="772">
        <v>10260</v>
      </c>
      <c r="E139" s="772">
        <v>10550</v>
      </c>
      <c r="F139" s="786">
        <v>1700</v>
      </c>
    </row>
    <row r="140" spans="1:6" s="766" customFormat="1" ht="14.25" customHeight="1" thickBot="1" x14ac:dyDescent="0.25">
      <c r="A140" s="778" t="s">
        <v>56</v>
      </c>
      <c r="B140" s="772" t="s">
        <v>458</v>
      </c>
      <c r="C140" s="772">
        <v>9740</v>
      </c>
      <c r="D140" s="772">
        <v>9710</v>
      </c>
      <c r="E140" s="772">
        <v>10000</v>
      </c>
      <c r="F140" s="786">
        <v>2000</v>
      </c>
    </row>
    <row r="141" spans="1:6" s="766" customFormat="1" ht="14.25" customHeight="1" thickBot="1" x14ac:dyDescent="0.25">
      <c r="A141" s="778" t="s">
        <v>56</v>
      </c>
      <c r="B141" s="772" t="s">
        <v>463</v>
      </c>
      <c r="C141" s="772">
        <v>9810</v>
      </c>
      <c r="D141" s="772">
        <v>9770</v>
      </c>
      <c r="E141" s="772">
        <v>10060</v>
      </c>
      <c r="F141" s="790"/>
    </row>
    <row r="142" spans="1:6" s="766" customFormat="1" ht="14.25" customHeight="1" thickBot="1" x14ac:dyDescent="0.25">
      <c r="A142" s="778" t="s">
        <v>56</v>
      </c>
      <c r="B142" s="772" t="s">
        <v>468</v>
      </c>
      <c r="C142" s="772">
        <v>9300</v>
      </c>
      <c r="D142" s="772">
        <v>9270</v>
      </c>
      <c r="E142" s="772">
        <v>9530</v>
      </c>
      <c r="F142" s="790"/>
    </row>
    <row r="143" spans="1:6" s="766" customFormat="1" ht="14.25" customHeight="1" thickBot="1" x14ac:dyDescent="0.25">
      <c r="A143" s="778" t="s">
        <v>56</v>
      </c>
      <c r="B143" s="772" t="s">
        <v>473</v>
      </c>
      <c r="C143" s="772">
        <v>10080</v>
      </c>
      <c r="D143" s="772">
        <v>10050</v>
      </c>
      <c r="E143" s="772">
        <v>10340</v>
      </c>
      <c r="F143" s="790"/>
    </row>
    <row r="144" spans="1:6" s="766" customFormat="1" ht="14.25" customHeight="1" thickBot="1" x14ac:dyDescent="0.25">
      <c r="A144" s="778" t="s">
        <v>56</v>
      </c>
      <c r="B144" s="772" t="s">
        <v>477</v>
      </c>
      <c r="C144" s="772">
        <v>9820</v>
      </c>
      <c r="D144" s="772">
        <v>9750</v>
      </c>
      <c r="E144" s="772">
        <v>9900</v>
      </c>
      <c r="F144" s="790"/>
    </row>
    <row r="145" spans="1:6" s="766" customFormat="1" ht="14.25" customHeight="1" thickBot="1" x14ac:dyDescent="0.25">
      <c r="A145" s="778" t="s">
        <v>56</v>
      </c>
      <c r="B145" s="772" t="s">
        <v>481</v>
      </c>
      <c r="C145" s="772"/>
      <c r="D145" s="772"/>
      <c r="E145" s="772"/>
      <c r="F145" s="786">
        <v>1740</v>
      </c>
    </row>
    <row r="146" spans="1:6" s="766" customFormat="1" ht="14.25" customHeight="1" thickBot="1" x14ac:dyDescent="0.25">
      <c r="A146" s="778" t="s">
        <v>56</v>
      </c>
      <c r="B146" s="772" t="s">
        <v>485</v>
      </c>
      <c r="C146" s="772"/>
      <c r="D146" s="772"/>
      <c r="E146" s="772"/>
      <c r="F146" s="786">
        <v>1740</v>
      </c>
    </row>
    <row r="147" spans="1:6" s="766" customFormat="1" ht="14.25" customHeight="1" thickBot="1" x14ac:dyDescent="0.25">
      <c r="A147" s="778" t="s">
        <v>56</v>
      </c>
      <c r="B147" s="772" t="s">
        <v>489</v>
      </c>
      <c r="C147" s="772"/>
      <c r="D147" s="772"/>
      <c r="E147" s="772"/>
      <c r="F147" s="786">
        <v>1740</v>
      </c>
    </row>
    <row r="148" spans="1:6" s="766" customFormat="1" ht="14.25" customHeight="1" thickBot="1" x14ac:dyDescent="0.25">
      <c r="A148" s="778" t="s">
        <v>56</v>
      </c>
      <c r="B148" s="772" t="s">
        <v>493</v>
      </c>
      <c r="C148" s="772"/>
      <c r="D148" s="772"/>
      <c r="E148" s="772"/>
      <c r="F148" s="786">
        <v>1740</v>
      </c>
    </row>
    <row r="149" spans="1:6" s="766" customFormat="1" ht="14.25" customHeight="1" thickBot="1" x14ac:dyDescent="0.25">
      <c r="A149" s="778" t="s">
        <v>56</v>
      </c>
      <c r="B149" s="772" t="s">
        <v>497</v>
      </c>
      <c r="C149" s="772"/>
      <c r="D149" s="772"/>
      <c r="E149" s="772"/>
      <c r="F149" s="786">
        <v>1740</v>
      </c>
    </row>
    <row r="150" spans="1:6" s="766" customFormat="1" ht="14.25" customHeight="1" thickBot="1" x14ac:dyDescent="0.25">
      <c r="A150" s="778" t="s">
        <v>56</v>
      </c>
      <c r="B150" s="772" t="s">
        <v>500</v>
      </c>
      <c r="C150" s="772"/>
      <c r="D150" s="772"/>
      <c r="E150" s="772"/>
      <c r="F150" s="786">
        <v>1610</v>
      </c>
    </row>
    <row r="151" spans="1:6" s="766" customFormat="1" ht="14.25" customHeight="1" thickBot="1" x14ac:dyDescent="0.25">
      <c r="A151" s="778" t="s">
        <v>56</v>
      </c>
      <c r="B151" s="772" t="s">
        <v>503</v>
      </c>
      <c r="C151" s="772"/>
      <c r="D151" s="772"/>
      <c r="E151" s="772"/>
      <c r="F151" s="786">
        <v>1610</v>
      </c>
    </row>
    <row r="152" spans="1:6" s="766" customFormat="1" ht="14.25" customHeight="1" thickBot="1" x14ac:dyDescent="0.25">
      <c r="A152" s="778" t="s">
        <v>56</v>
      </c>
      <c r="B152" s="772" t="s">
        <v>506</v>
      </c>
      <c r="C152" s="772"/>
      <c r="D152" s="772"/>
      <c r="E152" s="772"/>
      <c r="F152" s="786">
        <v>1610</v>
      </c>
    </row>
    <row r="153" spans="1:6" s="766" customFormat="1" ht="14.25" customHeight="1" thickBot="1" x14ac:dyDescent="0.25">
      <c r="A153" s="778" t="s">
        <v>56</v>
      </c>
      <c r="B153" s="772" t="s">
        <v>509</v>
      </c>
      <c r="C153" s="772"/>
      <c r="D153" s="772"/>
      <c r="E153" s="772"/>
      <c r="F153" s="786">
        <v>1610</v>
      </c>
    </row>
    <row r="154" spans="1:6" s="766" customFormat="1" ht="14.25" customHeight="1" thickBot="1" x14ac:dyDescent="0.25">
      <c r="A154" s="778" t="s">
        <v>56</v>
      </c>
      <c r="B154" s="772" t="s">
        <v>512</v>
      </c>
      <c r="C154" s="772"/>
      <c r="D154" s="772"/>
      <c r="E154" s="772"/>
      <c r="F154" s="786">
        <v>1610</v>
      </c>
    </row>
    <row r="155" spans="1:6" s="766" customFormat="1" ht="14.25" customHeight="1" thickBot="1" x14ac:dyDescent="0.25">
      <c r="A155" s="778" t="s">
        <v>56</v>
      </c>
      <c r="B155" s="772" t="s">
        <v>515</v>
      </c>
      <c r="C155" s="772"/>
      <c r="D155" s="772"/>
      <c r="E155" s="772"/>
      <c r="F155" s="786">
        <v>1800</v>
      </c>
    </row>
    <row r="156" spans="1:6" s="766" customFormat="1" ht="14.25" customHeight="1" thickBot="1" x14ac:dyDescent="0.25">
      <c r="A156" s="778" t="s">
        <v>56</v>
      </c>
      <c r="B156" s="772" t="s">
        <v>517</v>
      </c>
      <c r="C156" s="772"/>
      <c r="D156" s="772"/>
      <c r="E156" s="772"/>
      <c r="F156" s="786">
        <v>1910</v>
      </c>
    </row>
    <row r="157" spans="1:6" s="766" customFormat="1" ht="14.25" customHeight="1" thickBot="1" x14ac:dyDescent="0.25">
      <c r="A157" s="778" t="s">
        <v>56</v>
      </c>
      <c r="B157" s="784" t="s">
        <v>520</v>
      </c>
      <c r="C157" s="784"/>
      <c r="D157" s="784"/>
      <c r="E157" s="784"/>
      <c r="F157" s="789">
        <v>1500</v>
      </c>
    </row>
    <row r="158" spans="1:6" s="766" customFormat="1" ht="14.25" customHeight="1" thickBot="1" x14ac:dyDescent="0.25">
      <c r="A158" s="778" t="s">
        <v>525</v>
      </c>
      <c r="B158" s="779" t="s">
        <v>526</v>
      </c>
      <c r="C158" s="779">
        <v>8170</v>
      </c>
      <c r="D158" s="779">
        <v>8140</v>
      </c>
      <c r="E158" s="779">
        <v>8590</v>
      </c>
      <c r="F158" s="780">
        <v>1450</v>
      </c>
    </row>
    <row r="159" spans="1:6" s="766" customFormat="1" ht="14.25" customHeight="1" thickBot="1" x14ac:dyDescent="0.25">
      <c r="A159" s="778" t="s">
        <v>525</v>
      </c>
      <c r="B159" s="772" t="s">
        <v>192</v>
      </c>
      <c r="C159" s="772">
        <v>7410</v>
      </c>
      <c r="D159" s="772">
        <v>7370</v>
      </c>
      <c r="E159" s="772">
        <v>8030</v>
      </c>
      <c r="F159" s="786">
        <v>1510</v>
      </c>
    </row>
    <row r="160" spans="1:6" s="766" customFormat="1" ht="14.25" customHeight="1" thickBot="1" x14ac:dyDescent="0.25">
      <c r="A160" s="778" t="s">
        <v>525</v>
      </c>
      <c r="B160" s="772" t="s">
        <v>205</v>
      </c>
      <c r="C160" s="772">
        <v>7240</v>
      </c>
      <c r="D160" s="772">
        <v>7210</v>
      </c>
      <c r="E160" s="772">
        <v>7860</v>
      </c>
      <c r="F160" s="786">
        <v>1370</v>
      </c>
    </row>
    <row r="161" spans="1:6" s="766" customFormat="1" ht="14.25" customHeight="1" thickBot="1" x14ac:dyDescent="0.25">
      <c r="A161" s="778" t="s">
        <v>525</v>
      </c>
      <c r="B161" s="772" t="s">
        <v>218</v>
      </c>
      <c r="C161" s="772">
        <v>7720</v>
      </c>
      <c r="D161" s="772">
        <v>7690</v>
      </c>
      <c r="E161" s="772">
        <v>8200</v>
      </c>
      <c r="F161" s="786">
        <v>1190</v>
      </c>
    </row>
    <row r="162" spans="1:6" s="766" customFormat="1" ht="14.25" customHeight="1" thickBot="1" x14ac:dyDescent="0.25">
      <c r="A162" s="778" t="s">
        <v>525</v>
      </c>
      <c r="B162" s="772" t="s">
        <v>230</v>
      </c>
      <c r="C162" s="772">
        <v>6900</v>
      </c>
      <c r="D162" s="772">
        <v>6870</v>
      </c>
      <c r="E162" s="772">
        <v>7500</v>
      </c>
      <c r="F162" s="786">
        <v>1390</v>
      </c>
    </row>
    <row r="163" spans="1:6" s="766" customFormat="1" ht="14.25" customHeight="1" thickBot="1" x14ac:dyDescent="0.25">
      <c r="A163" s="778" t="s">
        <v>525</v>
      </c>
      <c r="B163" s="772" t="s">
        <v>241</v>
      </c>
      <c r="C163" s="772">
        <v>7120</v>
      </c>
      <c r="D163" s="772">
        <v>7090</v>
      </c>
      <c r="E163" s="772">
        <v>7690</v>
      </c>
      <c r="F163" s="786">
        <v>1230</v>
      </c>
    </row>
    <row r="164" spans="1:6" s="766" customFormat="1" ht="14.25" customHeight="1" thickBot="1" x14ac:dyDescent="0.25">
      <c r="A164" s="778" t="s">
        <v>525</v>
      </c>
      <c r="B164" s="772" t="s">
        <v>252</v>
      </c>
      <c r="C164" s="772">
        <v>6560</v>
      </c>
      <c r="D164" s="772">
        <v>6530</v>
      </c>
      <c r="E164" s="772">
        <v>7110</v>
      </c>
      <c r="F164" s="786">
        <v>1340</v>
      </c>
    </row>
    <row r="165" spans="1:6" s="766" customFormat="1" ht="14.25" customHeight="1" thickBot="1" x14ac:dyDescent="0.25">
      <c r="A165" s="778" t="s">
        <v>525</v>
      </c>
      <c r="B165" s="772" t="s">
        <v>263</v>
      </c>
      <c r="C165" s="772">
        <v>7450</v>
      </c>
      <c r="D165" s="772">
        <v>7430</v>
      </c>
      <c r="E165" s="772">
        <v>8110</v>
      </c>
      <c r="F165" s="786">
        <v>1290</v>
      </c>
    </row>
    <row r="166" spans="1:6" s="766" customFormat="1" ht="14.25" customHeight="1" thickBot="1" x14ac:dyDescent="0.25">
      <c r="A166" s="778" t="s">
        <v>525</v>
      </c>
      <c r="B166" s="772" t="s">
        <v>275</v>
      </c>
      <c r="C166" s="772">
        <v>7490</v>
      </c>
      <c r="D166" s="772">
        <v>7460</v>
      </c>
      <c r="E166" s="772">
        <v>8150</v>
      </c>
      <c r="F166" s="786">
        <v>1350</v>
      </c>
    </row>
    <row r="167" spans="1:6" s="766" customFormat="1" ht="14.25" customHeight="1" thickBot="1" x14ac:dyDescent="0.25">
      <c r="A167" s="778" t="s">
        <v>525</v>
      </c>
      <c r="B167" s="772" t="s">
        <v>285</v>
      </c>
      <c r="C167" s="772">
        <v>7540</v>
      </c>
      <c r="D167" s="772">
        <v>7510</v>
      </c>
      <c r="E167" s="772">
        <v>8030</v>
      </c>
      <c r="F167" s="790"/>
    </row>
    <row r="168" spans="1:6" s="766" customFormat="1" ht="14.25" customHeight="1" thickBot="1" x14ac:dyDescent="0.25">
      <c r="A168" s="778" t="s">
        <v>525</v>
      </c>
      <c r="B168" s="772" t="s">
        <v>295</v>
      </c>
      <c r="C168" s="772">
        <v>7210</v>
      </c>
      <c r="D168" s="772">
        <v>7180</v>
      </c>
      <c r="E168" s="772">
        <v>7830</v>
      </c>
      <c r="F168" s="790"/>
    </row>
    <row r="169" spans="1:6" s="766" customFormat="1" ht="14.25" customHeight="1" thickBot="1" x14ac:dyDescent="0.25">
      <c r="A169" s="778" t="s">
        <v>525</v>
      </c>
      <c r="B169" s="772" t="s">
        <v>305</v>
      </c>
      <c r="C169" s="772">
        <v>7040</v>
      </c>
      <c r="D169" s="772">
        <v>7020</v>
      </c>
      <c r="E169" s="772">
        <v>7670</v>
      </c>
      <c r="F169" s="790"/>
    </row>
    <row r="170" spans="1:6" s="766" customFormat="1" ht="14.25" customHeight="1" thickBot="1" x14ac:dyDescent="0.25">
      <c r="A170" s="778" t="s">
        <v>525</v>
      </c>
      <c r="B170" s="772" t="s">
        <v>315</v>
      </c>
      <c r="C170" s="772">
        <v>8040</v>
      </c>
      <c r="D170" s="772">
        <v>7190</v>
      </c>
      <c r="E170" s="772">
        <v>7850</v>
      </c>
      <c r="F170" s="790"/>
    </row>
    <row r="171" spans="1:6" s="766" customFormat="1" ht="14.25" customHeight="1" thickBot="1" x14ac:dyDescent="0.25">
      <c r="A171" s="778" t="s">
        <v>525</v>
      </c>
      <c r="B171" s="772" t="s">
        <v>326</v>
      </c>
      <c r="C171" s="772">
        <v>7860</v>
      </c>
      <c r="D171" s="772">
        <v>7720</v>
      </c>
      <c r="E171" s="772">
        <v>8150</v>
      </c>
      <c r="F171" s="786">
        <v>1110</v>
      </c>
    </row>
    <row r="172" spans="1:6" s="766" customFormat="1" ht="14.25" customHeight="1" thickBot="1" x14ac:dyDescent="0.25">
      <c r="A172" s="778" t="s">
        <v>525</v>
      </c>
      <c r="B172" s="772" t="s">
        <v>337</v>
      </c>
      <c r="C172" s="772">
        <v>7210</v>
      </c>
      <c r="D172" s="772">
        <v>7170</v>
      </c>
      <c r="E172" s="772">
        <v>7320</v>
      </c>
      <c r="F172" s="790"/>
    </row>
    <row r="173" spans="1:6" s="766" customFormat="1" ht="14.25" customHeight="1" thickBot="1" x14ac:dyDescent="0.25">
      <c r="A173" s="778" t="s">
        <v>525</v>
      </c>
      <c r="B173" s="772" t="s">
        <v>347</v>
      </c>
      <c r="C173" s="772">
        <v>6860</v>
      </c>
      <c r="D173" s="772">
        <v>6810</v>
      </c>
      <c r="E173" s="772">
        <v>7440</v>
      </c>
      <c r="F173" s="790"/>
    </row>
    <row r="174" spans="1:6" s="766" customFormat="1" ht="14.25" customHeight="1" thickBot="1" x14ac:dyDescent="0.25">
      <c r="A174" s="778" t="s">
        <v>525</v>
      </c>
      <c r="B174" s="772" t="s">
        <v>357</v>
      </c>
      <c r="C174" s="772">
        <v>7120</v>
      </c>
      <c r="D174" s="772">
        <v>7090</v>
      </c>
      <c r="E174" s="772">
        <v>7500</v>
      </c>
      <c r="F174" s="786">
        <v>1490</v>
      </c>
    </row>
    <row r="175" spans="1:6" s="766" customFormat="1" ht="14.25" customHeight="1" thickBot="1" x14ac:dyDescent="0.25">
      <c r="A175" s="778" t="s">
        <v>525</v>
      </c>
      <c r="B175" s="772" t="s">
        <v>367</v>
      </c>
      <c r="C175" s="772">
        <v>7850</v>
      </c>
      <c r="D175" s="772">
        <v>7820</v>
      </c>
      <c r="E175" s="772">
        <v>8120</v>
      </c>
      <c r="F175" s="786">
        <v>1530</v>
      </c>
    </row>
    <row r="176" spans="1:6" s="766" customFormat="1" ht="14.25" customHeight="1" thickBot="1" x14ac:dyDescent="0.25">
      <c r="A176" s="778" t="s">
        <v>525</v>
      </c>
      <c r="B176" s="772" t="s">
        <v>377</v>
      </c>
      <c r="C176" s="772">
        <v>7620</v>
      </c>
      <c r="D176" s="772">
        <v>7570</v>
      </c>
      <c r="E176" s="772">
        <v>7990</v>
      </c>
      <c r="F176" s="786">
        <v>1480</v>
      </c>
    </row>
    <row r="177" spans="1:6" s="766" customFormat="1" ht="14.25" customHeight="1" thickBot="1" x14ac:dyDescent="0.25">
      <c r="A177" s="778" t="s">
        <v>525</v>
      </c>
      <c r="B177" s="772" t="s">
        <v>386</v>
      </c>
      <c r="C177" s="772">
        <v>8590</v>
      </c>
      <c r="D177" s="772">
        <v>8570</v>
      </c>
      <c r="E177" s="772">
        <v>8740</v>
      </c>
      <c r="F177" s="786">
        <v>1540</v>
      </c>
    </row>
    <row r="178" spans="1:6" s="766" customFormat="1" ht="14.25" customHeight="1" thickBot="1" x14ac:dyDescent="0.25">
      <c r="A178" s="778" t="s">
        <v>525</v>
      </c>
      <c r="B178" s="772" t="s">
        <v>395</v>
      </c>
      <c r="C178" s="772">
        <v>7510</v>
      </c>
      <c r="D178" s="772">
        <v>7470</v>
      </c>
      <c r="E178" s="772">
        <v>8090</v>
      </c>
      <c r="F178" s="786">
        <v>1320</v>
      </c>
    </row>
    <row r="179" spans="1:6" s="766" customFormat="1" ht="14.25" customHeight="1" thickBot="1" x14ac:dyDescent="0.25">
      <c r="A179" s="778" t="s">
        <v>525</v>
      </c>
      <c r="B179" s="772" t="s">
        <v>403</v>
      </c>
      <c r="C179" s="772">
        <v>6380</v>
      </c>
      <c r="D179" s="772">
        <v>6340</v>
      </c>
      <c r="E179" s="772">
        <v>6810</v>
      </c>
      <c r="F179" s="790"/>
    </row>
    <row r="180" spans="1:6" s="766" customFormat="1" ht="14.25" customHeight="1" thickBot="1" x14ac:dyDescent="0.25">
      <c r="A180" s="778" t="s">
        <v>525</v>
      </c>
      <c r="B180" s="772" t="s">
        <v>410</v>
      </c>
      <c r="C180" s="772">
        <v>7830</v>
      </c>
      <c r="D180" s="772">
        <v>7800</v>
      </c>
      <c r="E180" s="772">
        <v>7780</v>
      </c>
      <c r="F180" s="786">
        <v>1440</v>
      </c>
    </row>
    <row r="181" spans="1:6" s="766" customFormat="1" ht="14.25" customHeight="1" thickBot="1" x14ac:dyDescent="0.25">
      <c r="A181" s="778" t="s">
        <v>525</v>
      </c>
      <c r="B181" s="772" t="s">
        <v>417</v>
      </c>
      <c r="C181" s="772">
        <v>7110</v>
      </c>
      <c r="D181" s="772">
        <v>7080</v>
      </c>
      <c r="E181" s="772">
        <v>7730</v>
      </c>
      <c r="F181" s="786">
        <v>1350</v>
      </c>
    </row>
    <row r="182" spans="1:6" s="766" customFormat="1" ht="14.25" customHeight="1" thickBot="1" x14ac:dyDescent="0.25">
      <c r="A182" s="778" t="s">
        <v>525</v>
      </c>
      <c r="B182" s="772" t="s">
        <v>424</v>
      </c>
      <c r="C182" s="772">
        <v>7310</v>
      </c>
      <c r="D182" s="772">
        <v>7280</v>
      </c>
      <c r="E182" s="772">
        <v>7950</v>
      </c>
      <c r="F182" s="786">
        <v>1220</v>
      </c>
    </row>
    <row r="183" spans="1:6" s="766" customFormat="1" ht="14.25" customHeight="1" thickBot="1" x14ac:dyDescent="0.25">
      <c r="A183" s="778" t="s">
        <v>525</v>
      </c>
      <c r="B183" s="772" t="s">
        <v>431</v>
      </c>
      <c r="C183" s="772">
        <v>7470</v>
      </c>
      <c r="D183" s="772">
        <v>7440</v>
      </c>
      <c r="E183" s="772">
        <v>7880</v>
      </c>
      <c r="F183" s="790"/>
    </row>
    <row r="184" spans="1:6" s="766" customFormat="1" ht="14.25" customHeight="1" thickBot="1" x14ac:dyDescent="0.25">
      <c r="A184" s="778" t="s">
        <v>525</v>
      </c>
      <c r="B184" s="772" t="s">
        <v>438</v>
      </c>
      <c r="C184" s="772">
        <v>6960</v>
      </c>
      <c r="D184" s="772">
        <v>6930</v>
      </c>
      <c r="E184" s="772">
        <v>7570</v>
      </c>
      <c r="F184" s="790"/>
    </row>
    <row r="185" spans="1:6" s="766" customFormat="1" ht="14.25" customHeight="1" thickBot="1" x14ac:dyDescent="0.25">
      <c r="A185" s="778" t="s">
        <v>525</v>
      </c>
      <c r="B185" s="772" t="s">
        <v>445</v>
      </c>
      <c r="C185" s="772">
        <v>7260</v>
      </c>
      <c r="D185" s="772">
        <v>7230</v>
      </c>
      <c r="E185" s="772">
        <v>7710</v>
      </c>
      <c r="F185" s="786">
        <v>1360</v>
      </c>
    </row>
    <row r="186" spans="1:6" s="766" customFormat="1" ht="14.25" customHeight="1" thickBot="1" x14ac:dyDescent="0.25">
      <c r="A186" s="778" t="s">
        <v>525</v>
      </c>
      <c r="B186" s="772" t="s">
        <v>450</v>
      </c>
      <c r="C186" s="772"/>
      <c r="D186" s="772"/>
      <c r="E186" s="772"/>
      <c r="F186" s="786">
        <v>1560</v>
      </c>
    </row>
    <row r="187" spans="1:6" s="766" customFormat="1" ht="14.25" customHeight="1" thickBot="1" x14ac:dyDescent="0.25">
      <c r="A187" s="778" t="s">
        <v>525</v>
      </c>
      <c r="B187" s="772" t="s">
        <v>454</v>
      </c>
      <c r="C187" s="772"/>
      <c r="D187" s="772"/>
      <c r="E187" s="772"/>
      <c r="F187" s="786">
        <v>1560</v>
      </c>
    </row>
    <row r="188" spans="1:6" s="766" customFormat="1" ht="14.25" customHeight="1" thickBot="1" x14ac:dyDescent="0.25">
      <c r="A188" s="778" t="s">
        <v>525</v>
      </c>
      <c r="B188" s="772" t="s">
        <v>459</v>
      </c>
      <c r="C188" s="772"/>
      <c r="D188" s="772"/>
      <c r="E188" s="772"/>
      <c r="F188" s="786">
        <v>1560</v>
      </c>
    </row>
    <row r="189" spans="1:6" s="766" customFormat="1" ht="14.25" customHeight="1" thickBot="1" x14ac:dyDescent="0.25">
      <c r="A189" s="778" t="s">
        <v>525</v>
      </c>
      <c r="B189" s="772" t="s">
        <v>464</v>
      </c>
      <c r="C189" s="772"/>
      <c r="D189" s="772"/>
      <c r="E189" s="772"/>
      <c r="F189" s="786">
        <v>1320</v>
      </c>
    </row>
    <row r="190" spans="1:6" s="766" customFormat="1" ht="14.25" customHeight="1" thickBot="1" x14ac:dyDescent="0.25">
      <c r="A190" s="778" t="s">
        <v>525</v>
      </c>
      <c r="B190" s="772" t="s">
        <v>469</v>
      </c>
      <c r="C190" s="772"/>
      <c r="D190" s="772"/>
      <c r="E190" s="772"/>
      <c r="F190" s="786">
        <v>1320</v>
      </c>
    </row>
    <row r="191" spans="1:6" s="766" customFormat="1" ht="14.25" customHeight="1" thickBot="1" x14ac:dyDescent="0.25">
      <c r="A191" s="778" t="s">
        <v>525</v>
      </c>
      <c r="B191" s="772" t="s">
        <v>474</v>
      </c>
      <c r="C191" s="772"/>
      <c r="D191" s="772"/>
      <c r="E191" s="772"/>
      <c r="F191" s="786">
        <v>1320</v>
      </c>
    </row>
    <row r="192" spans="1:6" s="766" customFormat="1" ht="14.25" customHeight="1" thickBot="1" x14ac:dyDescent="0.25">
      <c r="A192" s="778" t="s">
        <v>525</v>
      </c>
      <c r="B192" s="772" t="s">
        <v>478</v>
      </c>
      <c r="C192" s="772"/>
      <c r="D192" s="772"/>
      <c r="E192" s="772"/>
      <c r="F192" s="786">
        <v>1100</v>
      </c>
    </row>
    <row r="193" spans="1:6" s="766" customFormat="1" ht="14.25" customHeight="1" thickBot="1" x14ac:dyDescent="0.25">
      <c r="A193" s="778" t="s">
        <v>525</v>
      </c>
      <c r="B193" s="772" t="s">
        <v>482</v>
      </c>
      <c r="C193" s="772"/>
      <c r="D193" s="772"/>
      <c r="E193" s="772"/>
      <c r="F193" s="786">
        <v>1100</v>
      </c>
    </row>
    <row r="194" spans="1:6" s="766" customFormat="1" ht="14.25" customHeight="1" thickBot="1" x14ac:dyDescent="0.25">
      <c r="A194" s="778" t="s">
        <v>525</v>
      </c>
      <c r="B194" s="772" t="s">
        <v>486</v>
      </c>
      <c r="C194" s="772"/>
      <c r="D194" s="772"/>
      <c r="E194" s="772"/>
      <c r="F194" s="786">
        <v>1080</v>
      </c>
    </row>
    <row r="195" spans="1:6" s="766" customFormat="1" ht="14.25" customHeight="1" thickBot="1" x14ac:dyDescent="0.25">
      <c r="A195" s="778" t="s">
        <v>525</v>
      </c>
      <c r="B195" s="772" t="s">
        <v>490</v>
      </c>
      <c r="C195" s="772"/>
      <c r="D195" s="772"/>
      <c r="E195" s="772"/>
      <c r="F195" s="786">
        <v>1270</v>
      </c>
    </row>
    <row r="196" spans="1:6" s="766" customFormat="1" ht="14.25" customHeight="1" thickBot="1" x14ac:dyDescent="0.25">
      <c r="A196" s="778" t="s">
        <v>525</v>
      </c>
      <c r="B196" s="772" t="s">
        <v>494</v>
      </c>
      <c r="C196" s="772"/>
      <c r="D196" s="772"/>
      <c r="E196" s="772"/>
      <c r="F196" s="786">
        <v>1150</v>
      </c>
    </row>
    <row r="197" spans="1:6" s="766" customFormat="1" ht="14.25" customHeight="1" thickBot="1" x14ac:dyDescent="0.25">
      <c r="A197" s="778" t="s">
        <v>525</v>
      </c>
      <c r="B197" s="772" t="s">
        <v>498</v>
      </c>
      <c r="C197" s="772"/>
      <c r="D197" s="772"/>
      <c r="E197" s="772"/>
      <c r="F197" s="786">
        <v>1330</v>
      </c>
    </row>
    <row r="198" spans="1:6" s="766" customFormat="1" ht="14.25" customHeight="1" thickBot="1" x14ac:dyDescent="0.25">
      <c r="A198" s="778" t="s">
        <v>525</v>
      </c>
      <c r="B198" s="772" t="s">
        <v>501</v>
      </c>
      <c r="C198" s="772"/>
      <c r="D198" s="772"/>
      <c r="E198" s="772"/>
      <c r="F198" s="786">
        <v>1170</v>
      </c>
    </row>
    <row r="199" spans="1:6" s="766" customFormat="1" ht="14.25" customHeight="1" thickBot="1" x14ac:dyDescent="0.25">
      <c r="A199" s="778" t="s">
        <v>525</v>
      </c>
      <c r="B199" s="772" t="s">
        <v>504</v>
      </c>
      <c r="C199" s="772"/>
      <c r="D199" s="772"/>
      <c r="E199" s="772"/>
      <c r="F199" s="786">
        <v>1120</v>
      </c>
    </row>
    <row r="200" spans="1:6" s="766" customFormat="1" ht="14.25" customHeight="1" thickBot="1" x14ac:dyDescent="0.25">
      <c r="A200" s="778" t="s">
        <v>525</v>
      </c>
      <c r="B200" s="772" t="s">
        <v>507</v>
      </c>
      <c r="C200" s="772"/>
      <c r="D200" s="772"/>
      <c r="E200" s="772"/>
      <c r="F200" s="786">
        <v>1120</v>
      </c>
    </row>
    <row r="201" spans="1:6" s="766" customFormat="1" ht="14.25" customHeight="1" thickBot="1" x14ac:dyDescent="0.25">
      <c r="A201" s="778" t="s">
        <v>525</v>
      </c>
      <c r="B201" s="772" t="s">
        <v>510</v>
      </c>
      <c r="C201" s="772"/>
      <c r="D201" s="772"/>
      <c r="E201" s="772"/>
      <c r="F201" s="786">
        <v>1540</v>
      </c>
    </row>
    <row r="202" spans="1:6" s="766" customFormat="1" ht="14.25" customHeight="1" thickBot="1" x14ac:dyDescent="0.25">
      <c r="A202" s="778" t="s">
        <v>525</v>
      </c>
      <c r="B202" s="772" t="s">
        <v>513</v>
      </c>
      <c r="C202" s="772"/>
      <c r="D202" s="772"/>
      <c r="E202" s="772"/>
      <c r="F202" s="786">
        <v>1310</v>
      </c>
    </row>
    <row r="203" spans="1:6" s="766" customFormat="1" ht="14.25" customHeight="1" thickBot="1" x14ac:dyDescent="0.25">
      <c r="A203" s="778" t="s">
        <v>525</v>
      </c>
      <c r="B203" s="772" t="s">
        <v>516</v>
      </c>
      <c r="C203" s="772"/>
      <c r="D203" s="772"/>
      <c r="E203" s="772"/>
      <c r="F203" s="786">
        <v>1310</v>
      </c>
    </row>
    <row r="204" spans="1:6" s="766" customFormat="1" ht="14.25" customHeight="1" thickBot="1" x14ac:dyDescent="0.25">
      <c r="A204" s="778" t="s">
        <v>525</v>
      </c>
      <c r="B204" s="772" t="s">
        <v>518</v>
      </c>
      <c r="C204" s="772"/>
      <c r="D204" s="772"/>
      <c r="E204" s="772"/>
      <c r="F204" s="786">
        <v>1080</v>
      </c>
    </row>
    <row r="205" spans="1:6" s="766" customFormat="1" ht="14.25" customHeight="1" thickBot="1" x14ac:dyDescent="0.25">
      <c r="A205" s="778" t="s">
        <v>525</v>
      </c>
      <c r="B205" s="772" t="s">
        <v>521</v>
      </c>
      <c r="C205" s="772"/>
      <c r="D205" s="772"/>
      <c r="E205" s="772"/>
      <c r="F205" s="786">
        <v>1080</v>
      </c>
    </row>
    <row r="206" spans="1:6" s="766" customFormat="1" ht="14.25" customHeight="1" thickBot="1" x14ac:dyDescent="0.25">
      <c r="A206" s="778" t="s">
        <v>527</v>
      </c>
      <c r="B206" s="779" t="s">
        <v>528</v>
      </c>
      <c r="C206" s="779">
        <v>5450</v>
      </c>
      <c r="D206" s="779">
        <v>5430</v>
      </c>
      <c r="E206" s="779">
        <v>5700</v>
      </c>
      <c r="F206" s="780">
        <v>1020</v>
      </c>
    </row>
    <row r="207" spans="1:6" s="766" customFormat="1" ht="14.25" customHeight="1" thickBot="1" x14ac:dyDescent="0.25">
      <c r="A207" s="778" t="s">
        <v>527</v>
      </c>
      <c r="B207" s="772" t="s">
        <v>193</v>
      </c>
      <c r="C207" s="772">
        <v>5860</v>
      </c>
      <c r="D207" s="772">
        <v>5820</v>
      </c>
      <c r="E207" s="772">
        <v>6050</v>
      </c>
      <c r="F207" s="786">
        <v>1080</v>
      </c>
    </row>
    <row r="208" spans="1:6" s="766" customFormat="1" ht="14.25" customHeight="1" thickBot="1" x14ac:dyDescent="0.25">
      <c r="A208" s="778" t="s">
        <v>527</v>
      </c>
      <c r="B208" s="772" t="s">
        <v>206</v>
      </c>
      <c r="C208" s="772">
        <v>4630</v>
      </c>
      <c r="D208" s="772">
        <v>4600</v>
      </c>
      <c r="E208" s="772">
        <v>4840</v>
      </c>
      <c r="F208" s="786">
        <v>900</v>
      </c>
    </row>
    <row r="209" spans="1:6" s="766" customFormat="1" ht="14.25" customHeight="1" thickBot="1" x14ac:dyDescent="0.25">
      <c r="A209" s="778" t="s">
        <v>527</v>
      </c>
      <c r="B209" s="772" t="s">
        <v>219</v>
      </c>
      <c r="C209" s="772">
        <v>5320</v>
      </c>
      <c r="D209" s="772">
        <v>5270</v>
      </c>
      <c r="E209" s="772">
        <v>5540</v>
      </c>
      <c r="F209" s="786">
        <v>980</v>
      </c>
    </row>
    <row r="210" spans="1:6" s="766" customFormat="1" ht="14.25" customHeight="1" thickBot="1" x14ac:dyDescent="0.25">
      <c r="A210" s="778" t="s">
        <v>527</v>
      </c>
      <c r="B210" s="772" t="s">
        <v>231</v>
      </c>
      <c r="C210" s="772">
        <v>5760</v>
      </c>
      <c r="D210" s="772">
        <v>5710</v>
      </c>
      <c r="E210" s="772">
        <v>6010</v>
      </c>
      <c r="F210" s="786">
        <v>870</v>
      </c>
    </row>
    <row r="211" spans="1:6" s="766" customFormat="1" ht="14.25" customHeight="1" thickBot="1" x14ac:dyDescent="0.25">
      <c r="A211" s="778" t="s">
        <v>527</v>
      </c>
      <c r="B211" s="772" t="s">
        <v>242</v>
      </c>
      <c r="C211" s="772">
        <v>4160</v>
      </c>
      <c r="D211" s="772">
        <v>4100</v>
      </c>
      <c r="E211" s="772">
        <v>4270</v>
      </c>
      <c r="F211" s="786">
        <v>790</v>
      </c>
    </row>
    <row r="212" spans="1:6" s="766" customFormat="1" ht="14.25" customHeight="1" thickBot="1" x14ac:dyDescent="0.25">
      <c r="A212" s="778" t="s">
        <v>527</v>
      </c>
      <c r="B212" s="772" t="s">
        <v>253</v>
      </c>
      <c r="C212" s="772">
        <v>4880</v>
      </c>
      <c r="D212" s="772">
        <v>4850</v>
      </c>
      <c r="E212" s="772">
        <v>5110</v>
      </c>
      <c r="F212" s="786">
        <v>940</v>
      </c>
    </row>
    <row r="213" spans="1:6" s="766" customFormat="1" ht="14.25" customHeight="1" thickBot="1" x14ac:dyDescent="0.25">
      <c r="A213" s="778" t="s">
        <v>527</v>
      </c>
      <c r="B213" s="772" t="s">
        <v>264</v>
      </c>
      <c r="C213" s="772">
        <v>4640</v>
      </c>
      <c r="D213" s="772">
        <v>4590</v>
      </c>
      <c r="E213" s="772">
        <v>4700</v>
      </c>
      <c r="F213" s="786">
        <v>1030</v>
      </c>
    </row>
    <row r="214" spans="1:6" s="766" customFormat="1" ht="14.25" customHeight="1" thickBot="1" x14ac:dyDescent="0.25">
      <c r="A214" s="778" t="s">
        <v>527</v>
      </c>
      <c r="B214" s="772" t="s">
        <v>276</v>
      </c>
      <c r="C214" s="772">
        <v>4540</v>
      </c>
      <c r="D214" s="772">
        <v>4490</v>
      </c>
      <c r="E214" s="772">
        <v>4610</v>
      </c>
      <c r="F214" s="790"/>
    </row>
    <row r="215" spans="1:6" s="766" customFormat="1" ht="14.25" customHeight="1" thickBot="1" x14ac:dyDescent="0.25">
      <c r="A215" s="778" t="s">
        <v>527</v>
      </c>
      <c r="B215" s="772" t="s">
        <v>286</v>
      </c>
      <c r="C215" s="772">
        <v>5280</v>
      </c>
      <c r="D215" s="772">
        <v>5250</v>
      </c>
      <c r="E215" s="772">
        <v>5520</v>
      </c>
      <c r="F215" s="786">
        <v>1000</v>
      </c>
    </row>
    <row r="216" spans="1:6" s="766" customFormat="1" ht="14.25" customHeight="1" thickBot="1" x14ac:dyDescent="0.25">
      <c r="A216" s="778" t="s">
        <v>527</v>
      </c>
      <c r="B216" s="772" t="s">
        <v>296</v>
      </c>
      <c r="C216" s="772">
        <v>5100</v>
      </c>
      <c r="D216" s="772">
        <v>5050</v>
      </c>
      <c r="E216" s="772">
        <v>5300</v>
      </c>
      <c r="F216" s="786">
        <v>950</v>
      </c>
    </row>
    <row r="217" spans="1:6" s="766" customFormat="1" ht="14.25" customHeight="1" thickBot="1" x14ac:dyDescent="0.25">
      <c r="A217" s="778" t="s">
        <v>527</v>
      </c>
      <c r="B217" s="772" t="s">
        <v>306</v>
      </c>
      <c r="C217" s="772">
        <v>5370</v>
      </c>
      <c r="D217" s="772">
        <v>5320</v>
      </c>
      <c r="E217" s="772">
        <v>5410</v>
      </c>
      <c r="F217" s="786">
        <v>950</v>
      </c>
    </row>
    <row r="218" spans="1:6" s="766" customFormat="1" ht="14.25" customHeight="1" thickBot="1" x14ac:dyDescent="0.25">
      <c r="A218" s="778" t="s">
        <v>527</v>
      </c>
      <c r="B218" s="772" t="s">
        <v>316</v>
      </c>
      <c r="C218" s="772">
        <v>5540</v>
      </c>
      <c r="D218" s="772">
        <v>5480</v>
      </c>
      <c r="E218" s="772">
        <v>5740</v>
      </c>
      <c r="F218" s="786">
        <v>1020</v>
      </c>
    </row>
    <row r="219" spans="1:6" s="766" customFormat="1" ht="14.25" customHeight="1" thickBot="1" x14ac:dyDescent="0.25">
      <c r="A219" s="778" t="s">
        <v>527</v>
      </c>
      <c r="B219" s="772" t="s">
        <v>327</v>
      </c>
      <c r="C219" s="772">
        <v>5140</v>
      </c>
      <c r="D219" s="772">
        <v>5100</v>
      </c>
      <c r="E219" s="772">
        <v>5350</v>
      </c>
      <c r="F219" s="786">
        <v>1120</v>
      </c>
    </row>
    <row r="220" spans="1:6" s="766" customFormat="1" ht="14.25" customHeight="1" thickBot="1" x14ac:dyDescent="0.25">
      <c r="A220" s="778" t="s">
        <v>527</v>
      </c>
      <c r="B220" s="772" t="s">
        <v>338</v>
      </c>
      <c r="C220" s="772">
        <v>5040</v>
      </c>
      <c r="D220" s="772">
        <v>5000</v>
      </c>
      <c r="E220" s="772">
        <v>5240</v>
      </c>
      <c r="F220" s="786">
        <v>980</v>
      </c>
    </row>
    <row r="221" spans="1:6" s="766" customFormat="1" ht="14.25" customHeight="1" thickBot="1" x14ac:dyDescent="0.25">
      <c r="A221" s="778" t="s">
        <v>527</v>
      </c>
      <c r="B221" s="772" t="s">
        <v>348</v>
      </c>
      <c r="C221" s="791"/>
      <c r="D221" s="791"/>
      <c r="E221" s="791"/>
      <c r="F221" s="786">
        <v>1070</v>
      </c>
    </row>
    <row r="222" spans="1:6" s="766" customFormat="1" ht="14.25" customHeight="1" thickBot="1" x14ac:dyDescent="0.25">
      <c r="A222" s="778" t="s">
        <v>527</v>
      </c>
      <c r="B222" s="772" t="s">
        <v>358</v>
      </c>
      <c r="C222" s="791"/>
      <c r="D222" s="791"/>
      <c r="E222" s="791"/>
      <c r="F222" s="786">
        <v>870</v>
      </c>
    </row>
    <row r="223" spans="1:6" s="766" customFormat="1" ht="14.25" customHeight="1" thickBot="1" x14ac:dyDescent="0.25">
      <c r="A223" s="778" t="s">
        <v>527</v>
      </c>
      <c r="B223" s="772" t="s">
        <v>368</v>
      </c>
      <c r="C223" s="791"/>
      <c r="D223" s="791"/>
      <c r="E223" s="791"/>
      <c r="F223" s="786">
        <v>940</v>
      </c>
    </row>
    <row r="224" spans="1:6" s="766" customFormat="1" ht="14.25" customHeight="1" thickBot="1" x14ac:dyDescent="0.25">
      <c r="A224" s="778" t="s">
        <v>527</v>
      </c>
      <c r="B224" s="772" t="s">
        <v>378</v>
      </c>
      <c r="C224" s="791"/>
      <c r="D224" s="791"/>
      <c r="E224" s="791"/>
      <c r="F224" s="786">
        <v>990</v>
      </c>
    </row>
    <row r="225" spans="1:6" s="766" customFormat="1" ht="14.25" customHeight="1" thickBot="1" x14ac:dyDescent="0.25">
      <c r="A225" s="778" t="s">
        <v>527</v>
      </c>
      <c r="B225" s="772" t="s">
        <v>387</v>
      </c>
      <c r="C225" s="772">
        <v>5730</v>
      </c>
      <c r="D225" s="772">
        <v>5680</v>
      </c>
      <c r="E225" s="772">
        <v>6020</v>
      </c>
      <c r="F225" s="786">
        <v>1000</v>
      </c>
    </row>
    <row r="226" spans="1:6" s="766" customFormat="1" ht="14.25" customHeight="1" thickBot="1" x14ac:dyDescent="0.25">
      <c r="A226" s="778" t="s">
        <v>527</v>
      </c>
      <c r="B226" s="772" t="s">
        <v>396</v>
      </c>
      <c r="C226" s="772">
        <v>4970</v>
      </c>
      <c r="D226" s="772">
        <v>4940</v>
      </c>
      <c r="E226" s="772">
        <v>5180</v>
      </c>
      <c r="F226" s="786">
        <v>960</v>
      </c>
    </row>
    <row r="227" spans="1:6" s="766" customFormat="1" ht="14.25" customHeight="1" thickBot="1" x14ac:dyDescent="0.25">
      <c r="A227" s="778" t="s">
        <v>527</v>
      </c>
      <c r="B227" s="772" t="s">
        <v>404</v>
      </c>
      <c r="C227" s="772">
        <v>5550</v>
      </c>
      <c r="D227" s="772">
        <v>5500</v>
      </c>
      <c r="E227" s="772">
        <v>5780</v>
      </c>
      <c r="F227" s="786">
        <v>940</v>
      </c>
    </row>
    <row r="228" spans="1:6" s="766" customFormat="1" ht="14.25" customHeight="1" thickBot="1" x14ac:dyDescent="0.25">
      <c r="A228" s="778" t="s">
        <v>527</v>
      </c>
      <c r="B228" s="772" t="s">
        <v>411</v>
      </c>
      <c r="C228" s="772">
        <v>5460</v>
      </c>
      <c r="D228" s="772">
        <v>5420</v>
      </c>
      <c r="E228" s="772">
        <v>5690</v>
      </c>
      <c r="F228" s="786">
        <v>910</v>
      </c>
    </row>
    <row r="229" spans="1:6" s="766" customFormat="1" ht="14.25" customHeight="1" thickBot="1" x14ac:dyDescent="0.25">
      <c r="A229" s="778" t="s">
        <v>527</v>
      </c>
      <c r="B229" s="772" t="s">
        <v>418</v>
      </c>
      <c r="C229" s="772">
        <v>5310</v>
      </c>
      <c r="D229" s="772">
        <v>5270</v>
      </c>
      <c r="E229" s="772">
        <v>5510</v>
      </c>
      <c r="F229" s="790"/>
    </row>
    <row r="230" spans="1:6" s="766" customFormat="1" ht="14.25" customHeight="1" thickBot="1" x14ac:dyDescent="0.25">
      <c r="A230" s="778" t="s">
        <v>527</v>
      </c>
      <c r="B230" s="772" t="s">
        <v>425</v>
      </c>
      <c r="C230" s="772">
        <v>4540</v>
      </c>
      <c r="D230" s="772">
        <v>4500</v>
      </c>
      <c r="E230" s="772">
        <v>4730</v>
      </c>
      <c r="F230" s="790"/>
    </row>
    <row r="231" spans="1:6" s="766" customFormat="1" ht="14.25" customHeight="1" thickBot="1" x14ac:dyDescent="0.25">
      <c r="A231" s="778" t="s">
        <v>527</v>
      </c>
      <c r="B231" s="772" t="s">
        <v>432</v>
      </c>
      <c r="C231" s="772">
        <v>4480</v>
      </c>
      <c r="D231" s="772">
        <v>4410</v>
      </c>
      <c r="E231" s="772">
        <v>4640</v>
      </c>
      <c r="F231" s="790"/>
    </row>
    <row r="232" spans="1:6" s="766" customFormat="1" ht="14.25" customHeight="1" thickBot="1" x14ac:dyDescent="0.25">
      <c r="A232" s="778" t="s">
        <v>527</v>
      </c>
      <c r="B232" s="772" t="s">
        <v>439</v>
      </c>
      <c r="C232" s="772">
        <v>5670</v>
      </c>
      <c r="D232" s="772">
        <v>5600</v>
      </c>
      <c r="E232" s="772">
        <v>5890</v>
      </c>
      <c r="F232" s="786">
        <v>1150</v>
      </c>
    </row>
    <row r="233" spans="1:6" s="766" customFormat="1" ht="14.25" customHeight="1" thickBot="1" x14ac:dyDescent="0.25">
      <c r="A233" s="778" t="s">
        <v>527</v>
      </c>
      <c r="B233" s="772" t="s">
        <v>446</v>
      </c>
      <c r="C233" s="772">
        <v>4590</v>
      </c>
      <c r="D233" s="772">
        <v>4500</v>
      </c>
      <c r="E233" s="772">
        <v>4600</v>
      </c>
      <c r="F233" s="790"/>
    </row>
    <row r="234" spans="1:6" s="766" customFormat="1" ht="14.25" customHeight="1" thickBot="1" x14ac:dyDescent="0.25">
      <c r="A234" s="778" t="s">
        <v>527</v>
      </c>
      <c r="B234" s="772" t="s">
        <v>840</v>
      </c>
      <c r="C234" s="772">
        <v>3990</v>
      </c>
      <c r="D234" s="772">
        <v>3950</v>
      </c>
      <c r="E234" s="772">
        <v>4180</v>
      </c>
      <c r="F234" s="790"/>
    </row>
    <row r="235" spans="1:6" s="766" customFormat="1" ht="14.25" customHeight="1" thickBot="1" x14ac:dyDescent="0.25">
      <c r="A235" s="778" t="s">
        <v>527</v>
      </c>
      <c r="B235" s="772" t="s">
        <v>455</v>
      </c>
      <c r="C235" s="772">
        <v>5590</v>
      </c>
      <c r="D235" s="772">
        <v>5540</v>
      </c>
      <c r="E235" s="772">
        <v>5810</v>
      </c>
      <c r="F235" s="786">
        <v>970</v>
      </c>
    </row>
    <row r="236" spans="1:6" s="766" customFormat="1" ht="14.25" customHeight="1" thickBot="1" x14ac:dyDescent="0.25">
      <c r="A236" s="778" t="s">
        <v>527</v>
      </c>
      <c r="B236" s="772" t="s">
        <v>460</v>
      </c>
      <c r="C236" s="772"/>
      <c r="D236" s="772"/>
      <c r="E236" s="772"/>
      <c r="F236" s="786">
        <v>1020</v>
      </c>
    </row>
    <row r="237" spans="1:6" s="766" customFormat="1" ht="14.25" customHeight="1" thickBot="1" x14ac:dyDescent="0.25">
      <c r="A237" s="778" t="s">
        <v>527</v>
      </c>
      <c r="B237" s="772" t="s">
        <v>465</v>
      </c>
      <c r="C237" s="772"/>
      <c r="D237" s="772"/>
      <c r="E237" s="772"/>
      <c r="F237" s="786">
        <v>960</v>
      </c>
    </row>
    <row r="238" spans="1:6" s="766" customFormat="1" ht="14.25" customHeight="1" thickBot="1" x14ac:dyDescent="0.25">
      <c r="A238" s="778" t="s">
        <v>527</v>
      </c>
      <c r="B238" s="772" t="s">
        <v>470</v>
      </c>
      <c r="C238" s="772"/>
      <c r="D238" s="772"/>
      <c r="E238" s="772"/>
      <c r="F238" s="786">
        <v>960</v>
      </c>
    </row>
    <row r="239" spans="1:6" s="766" customFormat="1" ht="14.25" customHeight="1" thickBot="1" x14ac:dyDescent="0.25">
      <c r="A239" s="778" t="s">
        <v>527</v>
      </c>
      <c r="B239" s="772" t="s">
        <v>475</v>
      </c>
      <c r="C239" s="772"/>
      <c r="D239" s="772"/>
      <c r="E239" s="772"/>
      <c r="F239" s="786">
        <v>960</v>
      </c>
    </row>
    <row r="240" spans="1:6" s="766" customFormat="1" ht="14.25" customHeight="1" thickBot="1" x14ac:dyDescent="0.25">
      <c r="A240" s="778" t="s">
        <v>527</v>
      </c>
      <c r="B240" s="772" t="s">
        <v>479</v>
      </c>
      <c r="C240" s="772"/>
      <c r="D240" s="772"/>
      <c r="E240" s="772"/>
      <c r="F240" s="786">
        <v>990</v>
      </c>
    </row>
    <row r="241" spans="1:6" s="766" customFormat="1" ht="14.25" customHeight="1" thickBot="1" x14ac:dyDescent="0.25">
      <c r="A241" s="778" t="s">
        <v>527</v>
      </c>
      <c r="B241" s="772" t="s">
        <v>483</v>
      </c>
      <c r="C241" s="772"/>
      <c r="D241" s="772"/>
      <c r="E241" s="772"/>
      <c r="F241" s="786">
        <v>1000</v>
      </c>
    </row>
    <row r="242" spans="1:6" s="766" customFormat="1" ht="14.25" customHeight="1" thickBot="1" x14ac:dyDescent="0.25">
      <c r="A242" s="778" t="s">
        <v>527</v>
      </c>
      <c r="B242" s="772" t="s">
        <v>487</v>
      </c>
      <c r="C242" s="772"/>
      <c r="D242" s="772"/>
      <c r="E242" s="772"/>
      <c r="F242" s="786">
        <v>980</v>
      </c>
    </row>
    <row r="243" spans="1:6" s="766" customFormat="1" ht="14.25" customHeight="1" thickBot="1" x14ac:dyDescent="0.25">
      <c r="A243" s="778" t="s">
        <v>527</v>
      </c>
      <c r="B243" s="772" t="s">
        <v>491</v>
      </c>
      <c r="C243" s="772"/>
      <c r="D243" s="772"/>
      <c r="E243" s="772"/>
      <c r="F243" s="786">
        <v>970</v>
      </c>
    </row>
    <row r="244" spans="1:6" s="766" customFormat="1" ht="14.25" customHeight="1" thickBot="1" x14ac:dyDescent="0.25">
      <c r="A244" s="778" t="s">
        <v>527</v>
      </c>
      <c r="B244" s="784" t="s">
        <v>495</v>
      </c>
      <c r="C244" s="784"/>
      <c r="D244" s="784"/>
      <c r="E244" s="784"/>
      <c r="F244" s="789">
        <v>970</v>
      </c>
    </row>
    <row r="245" spans="1:6" s="766" customFormat="1" ht="14.25" customHeight="1" thickBot="1" x14ac:dyDescent="0.25">
      <c r="A245" s="778" t="s">
        <v>529</v>
      </c>
      <c r="B245" s="779" t="s">
        <v>530</v>
      </c>
      <c r="C245" s="779">
        <v>4050</v>
      </c>
      <c r="D245" s="779">
        <v>4020</v>
      </c>
      <c r="E245" s="779">
        <v>4160</v>
      </c>
      <c r="F245" s="780">
        <v>840</v>
      </c>
    </row>
    <row r="246" spans="1:6" s="766" customFormat="1" ht="14.25" customHeight="1" thickBot="1" x14ac:dyDescent="0.25">
      <c r="A246" s="778" t="s">
        <v>529</v>
      </c>
      <c r="B246" s="772" t="s">
        <v>194</v>
      </c>
      <c r="C246" s="772">
        <v>4010</v>
      </c>
      <c r="D246" s="772">
        <v>3960</v>
      </c>
      <c r="E246" s="772">
        <v>4130</v>
      </c>
      <c r="F246" s="786">
        <v>840</v>
      </c>
    </row>
    <row r="247" spans="1:6" s="766" customFormat="1" ht="14.25" customHeight="1" thickBot="1" x14ac:dyDescent="0.25">
      <c r="A247" s="778" t="s">
        <v>529</v>
      </c>
      <c r="B247" s="772" t="s">
        <v>531</v>
      </c>
      <c r="C247" s="772">
        <v>3170</v>
      </c>
      <c r="D247" s="772">
        <v>3140</v>
      </c>
      <c r="E247" s="772">
        <v>3270</v>
      </c>
      <c r="F247" s="786">
        <v>640</v>
      </c>
    </row>
    <row r="248" spans="1:6" s="766" customFormat="1" ht="14.25" customHeight="1" thickBot="1" x14ac:dyDescent="0.25">
      <c r="A248" s="778" t="s">
        <v>529</v>
      </c>
      <c r="B248" s="772" t="s">
        <v>532</v>
      </c>
      <c r="C248" s="772">
        <v>3140</v>
      </c>
      <c r="D248" s="772">
        <v>3120</v>
      </c>
      <c r="E248" s="772">
        <v>3240</v>
      </c>
      <c r="F248" s="786">
        <v>620</v>
      </c>
    </row>
    <row r="249" spans="1:6" s="766" customFormat="1" ht="14.25" customHeight="1" thickBot="1" x14ac:dyDescent="0.25">
      <c r="A249" s="778" t="s">
        <v>529</v>
      </c>
      <c r="B249" s="772" t="s">
        <v>232</v>
      </c>
      <c r="C249" s="772">
        <v>3200</v>
      </c>
      <c r="D249" s="772">
        <v>3100</v>
      </c>
      <c r="E249" s="772">
        <v>3230</v>
      </c>
      <c r="F249" s="786">
        <v>750</v>
      </c>
    </row>
    <row r="250" spans="1:6" s="766" customFormat="1" ht="14.25" customHeight="1" thickBot="1" x14ac:dyDescent="0.25">
      <c r="A250" s="778" t="s">
        <v>529</v>
      </c>
      <c r="B250" s="772" t="s">
        <v>243</v>
      </c>
      <c r="C250" s="772">
        <v>4060</v>
      </c>
      <c r="D250" s="772">
        <v>4000</v>
      </c>
      <c r="E250" s="772">
        <v>4140</v>
      </c>
      <c r="F250" s="786">
        <v>790</v>
      </c>
    </row>
    <row r="251" spans="1:6" s="766" customFormat="1" ht="14.25" customHeight="1" thickBot="1" x14ac:dyDescent="0.25">
      <c r="A251" s="778" t="s">
        <v>529</v>
      </c>
      <c r="B251" s="772" t="s">
        <v>254</v>
      </c>
      <c r="C251" s="772">
        <v>3990</v>
      </c>
      <c r="D251" s="772">
        <v>3970</v>
      </c>
      <c r="E251" s="772">
        <v>4110</v>
      </c>
      <c r="F251" s="786">
        <v>730</v>
      </c>
    </row>
    <row r="252" spans="1:6" s="766" customFormat="1" ht="14.25" customHeight="1" thickBot="1" x14ac:dyDescent="0.25">
      <c r="A252" s="778" t="s">
        <v>529</v>
      </c>
      <c r="B252" s="772" t="s">
        <v>265</v>
      </c>
      <c r="C252" s="772">
        <v>3560</v>
      </c>
      <c r="D252" s="772">
        <v>3530</v>
      </c>
      <c r="E252" s="772">
        <v>3650</v>
      </c>
      <c r="F252" s="786">
        <v>750</v>
      </c>
    </row>
    <row r="253" spans="1:6" s="766" customFormat="1" ht="14.25" customHeight="1" thickBot="1" x14ac:dyDescent="0.25">
      <c r="A253" s="778" t="s">
        <v>529</v>
      </c>
      <c r="B253" s="772" t="s">
        <v>277</v>
      </c>
      <c r="C253" s="772">
        <v>3780</v>
      </c>
      <c r="D253" s="772">
        <v>3750</v>
      </c>
      <c r="E253" s="772">
        <v>3870</v>
      </c>
      <c r="F253" s="786">
        <v>770</v>
      </c>
    </row>
    <row r="254" spans="1:6" s="766" customFormat="1" ht="14.25" customHeight="1" thickBot="1" x14ac:dyDescent="0.25">
      <c r="A254" s="778" t="s">
        <v>529</v>
      </c>
      <c r="B254" s="772" t="s">
        <v>287</v>
      </c>
      <c r="C254" s="791"/>
      <c r="D254" s="791"/>
      <c r="E254" s="791"/>
      <c r="F254" s="786">
        <v>740</v>
      </c>
    </row>
    <row r="255" spans="1:6" s="766" customFormat="1" ht="14.25" customHeight="1" thickBot="1" x14ac:dyDescent="0.25">
      <c r="A255" s="778" t="s">
        <v>529</v>
      </c>
      <c r="B255" s="772" t="s">
        <v>297</v>
      </c>
      <c r="C255" s="791"/>
      <c r="D255" s="791"/>
      <c r="E255" s="791"/>
      <c r="F255" s="786">
        <v>760</v>
      </c>
    </row>
    <row r="256" spans="1:6" s="766" customFormat="1" ht="14.25" customHeight="1" thickBot="1" x14ac:dyDescent="0.25">
      <c r="A256" s="778" t="s">
        <v>529</v>
      </c>
      <c r="B256" s="772" t="s">
        <v>307</v>
      </c>
      <c r="C256" s="772">
        <v>3760</v>
      </c>
      <c r="D256" s="772">
        <v>3730</v>
      </c>
      <c r="E256" s="772">
        <v>3870</v>
      </c>
      <c r="F256" s="786">
        <v>830</v>
      </c>
    </row>
    <row r="257" spans="1:6" s="766" customFormat="1" ht="14.25" customHeight="1" thickBot="1" x14ac:dyDescent="0.25">
      <c r="A257" s="778" t="s">
        <v>529</v>
      </c>
      <c r="B257" s="772" t="s">
        <v>317</v>
      </c>
      <c r="C257" s="772">
        <v>3570</v>
      </c>
      <c r="D257" s="772">
        <v>3540</v>
      </c>
      <c r="E257" s="772">
        <v>3650</v>
      </c>
      <c r="F257" s="786">
        <v>790</v>
      </c>
    </row>
    <row r="258" spans="1:6" s="766" customFormat="1" ht="14.25" customHeight="1" thickBot="1" x14ac:dyDescent="0.25">
      <c r="A258" s="778" t="s">
        <v>529</v>
      </c>
      <c r="B258" s="772" t="s">
        <v>328</v>
      </c>
      <c r="C258" s="772">
        <v>3410</v>
      </c>
      <c r="D258" s="772">
        <v>3380</v>
      </c>
      <c r="E258" s="772">
        <v>3500</v>
      </c>
      <c r="F258" s="786">
        <v>830</v>
      </c>
    </row>
    <row r="259" spans="1:6" s="766" customFormat="1" ht="14.25" customHeight="1" thickBot="1" x14ac:dyDescent="0.25">
      <c r="A259" s="778" t="s">
        <v>529</v>
      </c>
      <c r="B259" s="772" t="s">
        <v>339</v>
      </c>
      <c r="C259" s="772">
        <v>3870</v>
      </c>
      <c r="D259" s="772">
        <v>3840</v>
      </c>
      <c r="E259" s="772">
        <v>3970</v>
      </c>
      <c r="F259" s="786">
        <v>830</v>
      </c>
    </row>
    <row r="260" spans="1:6" s="766" customFormat="1" ht="14.25" customHeight="1" thickBot="1" x14ac:dyDescent="0.25">
      <c r="A260" s="778" t="s">
        <v>529</v>
      </c>
      <c r="B260" s="772" t="s">
        <v>349</v>
      </c>
      <c r="C260" s="772">
        <v>3700</v>
      </c>
      <c r="D260" s="772">
        <v>3660</v>
      </c>
      <c r="E260" s="772">
        <v>3810</v>
      </c>
      <c r="F260" s="786">
        <v>790</v>
      </c>
    </row>
    <row r="261" spans="1:6" s="766" customFormat="1" ht="14.25" customHeight="1" thickBot="1" x14ac:dyDescent="0.25">
      <c r="A261" s="778" t="s">
        <v>529</v>
      </c>
      <c r="B261" s="772" t="s">
        <v>359</v>
      </c>
      <c r="C261" s="772">
        <v>3470</v>
      </c>
      <c r="D261" s="772">
        <v>3430</v>
      </c>
      <c r="E261" s="772">
        <v>3640</v>
      </c>
      <c r="F261" s="786">
        <v>760</v>
      </c>
    </row>
    <row r="262" spans="1:6" s="766" customFormat="1" ht="14.25" customHeight="1" thickBot="1" x14ac:dyDescent="0.25">
      <c r="A262" s="778" t="s">
        <v>529</v>
      </c>
      <c r="B262" s="772" t="s">
        <v>369</v>
      </c>
      <c r="C262" s="772">
        <v>3510</v>
      </c>
      <c r="D262" s="772">
        <v>3470</v>
      </c>
      <c r="E262" s="772">
        <v>3680</v>
      </c>
      <c r="F262" s="790"/>
    </row>
    <row r="263" spans="1:6" s="766" customFormat="1" ht="14.25" customHeight="1" thickBot="1" x14ac:dyDescent="0.25">
      <c r="A263" s="778" t="s">
        <v>529</v>
      </c>
      <c r="B263" s="772" t="s">
        <v>379</v>
      </c>
      <c r="C263" s="772">
        <v>3960</v>
      </c>
      <c r="D263" s="772">
        <v>3930</v>
      </c>
      <c r="E263" s="772">
        <v>4070</v>
      </c>
      <c r="F263" s="786">
        <v>830</v>
      </c>
    </row>
    <row r="264" spans="1:6" s="766" customFormat="1" ht="14.25" customHeight="1" thickBot="1" x14ac:dyDescent="0.25">
      <c r="A264" s="778" t="s">
        <v>529</v>
      </c>
      <c r="B264" s="772" t="s">
        <v>388</v>
      </c>
      <c r="C264" s="772">
        <v>4010</v>
      </c>
      <c r="D264" s="772">
        <v>3980</v>
      </c>
      <c r="E264" s="772">
        <v>4150</v>
      </c>
      <c r="F264" s="786">
        <v>760</v>
      </c>
    </row>
    <row r="265" spans="1:6" s="766" customFormat="1" ht="14.25" customHeight="1" thickBot="1" x14ac:dyDescent="0.25">
      <c r="A265" s="778" t="s">
        <v>529</v>
      </c>
      <c r="B265" s="772" t="s">
        <v>397</v>
      </c>
      <c r="C265" s="772">
        <v>3910</v>
      </c>
      <c r="D265" s="772">
        <v>3890</v>
      </c>
      <c r="E265" s="772">
        <v>4040</v>
      </c>
      <c r="F265" s="786">
        <v>780</v>
      </c>
    </row>
    <row r="266" spans="1:6" s="766" customFormat="1" ht="14.25" customHeight="1" thickBot="1" x14ac:dyDescent="0.25">
      <c r="A266" s="778" t="s">
        <v>529</v>
      </c>
      <c r="B266" s="772" t="s">
        <v>405</v>
      </c>
      <c r="C266" s="772">
        <v>3930</v>
      </c>
      <c r="D266" s="772">
        <v>3900</v>
      </c>
      <c r="E266" s="772">
        <v>4080</v>
      </c>
      <c r="F266" s="786">
        <v>770</v>
      </c>
    </row>
    <row r="267" spans="1:6" s="766" customFormat="1" ht="14.25" customHeight="1" thickBot="1" x14ac:dyDescent="0.25">
      <c r="A267" s="778" t="s">
        <v>529</v>
      </c>
      <c r="B267" s="772" t="s">
        <v>412</v>
      </c>
      <c r="C267" s="772">
        <v>3800</v>
      </c>
      <c r="D267" s="772">
        <v>3780</v>
      </c>
      <c r="E267" s="772">
        <v>3930</v>
      </c>
      <c r="F267" s="790"/>
    </row>
    <row r="268" spans="1:6" s="766" customFormat="1" ht="14.25" customHeight="1" thickBot="1" x14ac:dyDescent="0.25">
      <c r="A268" s="778" t="s">
        <v>529</v>
      </c>
      <c r="B268" s="772" t="s">
        <v>419</v>
      </c>
      <c r="C268" s="772">
        <v>3460</v>
      </c>
      <c r="D268" s="772">
        <v>3430</v>
      </c>
      <c r="E268" s="772">
        <v>3560</v>
      </c>
      <c r="F268" s="786">
        <v>840</v>
      </c>
    </row>
    <row r="269" spans="1:6" s="766" customFormat="1" ht="14.25" customHeight="1" thickBot="1" x14ac:dyDescent="0.25">
      <c r="A269" s="778" t="s">
        <v>529</v>
      </c>
      <c r="B269" s="772" t="s">
        <v>426</v>
      </c>
      <c r="C269" s="772">
        <v>3210</v>
      </c>
      <c r="D269" s="772">
        <v>3190</v>
      </c>
      <c r="E269" s="772">
        <v>3310</v>
      </c>
      <c r="F269" s="786">
        <v>730</v>
      </c>
    </row>
    <row r="270" spans="1:6" s="766" customFormat="1" ht="14.25" customHeight="1" thickBot="1" x14ac:dyDescent="0.25">
      <c r="A270" s="778" t="s">
        <v>529</v>
      </c>
      <c r="B270" s="772" t="s">
        <v>433</v>
      </c>
      <c r="C270" s="772">
        <v>3240</v>
      </c>
      <c r="D270" s="772">
        <v>3210</v>
      </c>
      <c r="E270" s="772">
        <v>3390</v>
      </c>
      <c r="F270" s="786">
        <v>820</v>
      </c>
    </row>
    <row r="271" spans="1:6" s="766" customFormat="1" ht="14.25" customHeight="1" thickBot="1" x14ac:dyDescent="0.25">
      <c r="A271" s="778" t="s">
        <v>529</v>
      </c>
      <c r="B271" s="772" t="s">
        <v>440</v>
      </c>
      <c r="C271" s="772">
        <v>3300</v>
      </c>
      <c r="D271" s="772">
        <v>3270</v>
      </c>
      <c r="E271" s="772">
        <v>3380</v>
      </c>
      <c r="F271" s="786">
        <v>750</v>
      </c>
    </row>
    <row r="272" spans="1:6" s="766" customFormat="1" ht="14.25" customHeight="1" thickBot="1" x14ac:dyDescent="0.25">
      <c r="A272" s="778" t="s">
        <v>529</v>
      </c>
      <c r="B272" s="772" t="s">
        <v>447</v>
      </c>
      <c r="C272" s="791"/>
      <c r="D272" s="791"/>
      <c r="E272" s="791"/>
      <c r="F272" s="786">
        <v>740</v>
      </c>
    </row>
    <row r="273" spans="1:6" s="766" customFormat="1" ht="14.25" customHeight="1" thickBot="1" x14ac:dyDescent="0.25">
      <c r="A273" s="778" t="s">
        <v>529</v>
      </c>
      <c r="B273" s="772" t="s">
        <v>451</v>
      </c>
      <c r="C273" s="772">
        <v>3130</v>
      </c>
      <c r="D273" s="772">
        <v>3100</v>
      </c>
      <c r="E273" s="772">
        <v>3230</v>
      </c>
      <c r="F273" s="786">
        <v>700</v>
      </c>
    </row>
    <row r="274" spans="1:6" s="766" customFormat="1" ht="14.25" customHeight="1" thickBot="1" x14ac:dyDescent="0.25">
      <c r="A274" s="778" t="s">
        <v>529</v>
      </c>
      <c r="B274" s="772" t="s">
        <v>456</v>
      </c>
      <c r="C274" s="772">
        <v>3460</v>
      </c>
      <c r="D274" s="772">
        <v>3430</v>
      </c>
      <c r="E274" s="772">
        <v>3560</v>
      </c>
      <c r="F274" s="786">
        <v>690</v>
      </c>
    </row>
    <row r="275" spans="1:6" s="766" customFormat="1" ht="14.25" customHeight="1" thickBot="1" x14ac:dyDescent="0.25">
      <c r="A275" s="778" t="s">
        <v>529</v>
      </c>
      <c r="B275" s="772" t="s">
        <v>461</v>
      </c>
      <c r="C275" s="772">
        <v>4040</v>
      </c>
      <c r="D275" s="772">
        <v>4020</v>
      </c>
      <c r="E275" s="772">
        <v>4160</v>
      </c>
      <c r="F275" s="786">
        <v>820</v>
      </c>
    </row>
    <row r="276" spans="1:6" s="766" customFormat="1" ht="14.25" customHeight="1" thickBot="1" x14ac:dyDescent="0.25">
      <c r="A276" s="778" t="s">
        <v>529</v>
      </c>
      <c r="B276" s="772" t="s">
        <v>466</v>
      </c>
      <c r="C276" s="772">
        <v>3270</v>
      </c>
      <c r="D276" s="772">
        <v>3240</v>
      </c>
      <c r="E276" s="772">
        <v>3350</v>
      </c>
      <c r="F276" s="786">
        <v>680</v>
      </c>
    </row>
    <row r="277" spans="1:6" s="766" customFormat="1" ht="14.25" customHeight="1" thickBot="1" x14ac:dyDescent="0.25">
      <c r="A277" s="778" t="s">
        <v>529</v>
      </c>
      <c r="B277" s="772" t="s">
        <v>471</v>
      </c>
      <c r="C277" s="772">
        <v>2930</v>
      </c>
      <c r="D277" s="772">
        <v>2900</v>
      </c>
      <c r="E277" s="772">
        <v>3000</v>
      </c>
      <c r="F277" s="786">
        <v>640</v>
      </c>
    </row>
    <row r="278" spans="1:6" s="766" customFormat="1" ht="14.25" customHeight="1" thickBot="1" x14ac:dyDescent="0.25">
      <c r="A278" s="778" t="s">
        <v>529</v>
      </c>
      <c r="B278" s="772" t="s">
        <v>476</v>
      </c>
      <c r="C278" s="772">
        <v>4080</v>
      </c>
      <c r="D278" s="772">
        <v>4030</v>
      </c>
      <c r="E278" s="772">
        <v>4140</v>
      </c>
      <c r="F278" s="786">
        <v>850</v>
      </c>
    </row>
    <row r="279" spans="1:6" s="766" customFormat="1" ht="14.25" customHeight="1" thickBot="1" x14ac:dyDescent="0.25">
      <c r="A279" s="778" t="s">
        <v>529</v>
      </c>
      <c r="B279" s="772" t="s">
        <v>480</v>
      </c>
      <c r="C279" s="772"/>
      <c r="D279" s="772"/>
      <c r="E279" s="772"/>
      <c r="F279" s="786">
        <v>760</v>
      </c>
    </row>
    <row r="280" spans="1:6" s="766" customFormat="1" ht="14.25" customHeight="1" thickBot="1" x14ac:dyDescent="0.25">
      <c r="A280" s="778" t="s">
        <v>529</v>
      </c>
      <c r="B280" s="772" t="s">
        <v>484</v>
      </c>
      <c r="C280" s="772"/>
      <c r="D280" s="772"/>
      <c r="E280" s="772"/>
      <c r="F280" s="786">
        <v>760</v>
      </c>
    </row>
    <row r="281" spans="1:6" s="766" customFormat="1" ht="14.25" customHeight="1" thickBot="1" x14ac:dyDescent="0.25">
      <c r="A281" s="778" t="s">
        <v>529</v>
      </c>
      <c r="B281" s="772" t="s">
        <v>488</v>
      </c>
      <c r="C281" s="772"/>
      <c r="D281" s="772"/>
      <c r="E281" s="772"/>
      <c r="F281" s="786">
        <v>780</v>
      </c>
    </row>
    <row r="282" spans="1:6" s="766" customFormat="1" ht="14.25" customHeight="1" thickBot="1" x14ac:dyDescent="0.25">
      <c r="A282" s="778" t="s">
        <v>529</v>
      </c>
      <c r="B282" s="772" t="s">
        <v>492</v>
      </c>
      <c r="C282" s="772"/>
      <c r="D282" s="772"/>
      <c r="E282" s="772"/>
      <c r="F282" s="786">
        <v>730</v>
      </c>
    </row>
    <row r="283" spans="1:6" s="766" customFormat="1" ht="14.25" customHeight="1" thickBot="1" x14ac:dyDescent="0.25">
      <c r="A283" s="778" t="s">
        <v>529</v>
      </c>
      <c r="B283" s="772" t="s">
        <v>496</v>
      </c>
      <c r="C283" s="772"/>
      <c r="D283" s="772"/>
      <c r="E283" s="772"/>
      <c r="F283" s="786">
        <v>770</v>
      </c>
    </row>
    <row r="284" spans="1:6" s="766" customFormat="1" ht="14.25" customHeight="1" thickBot="1" x14ac:dyDescent="0.25">
      <c r="A284" s="778" t="s">
        <v>529</v>
      </c>
      <c r="B284" s="772" t="s">
        <v>499</v>
      </c>
      <c r="C284" s="772"/>
      <c r="D284" s="772"/>
      <c r="E284" s="772"/>
      <c r="F284" s="786">
        <v>640</v>
      </c>
    </row>
    <row r="285" spans="1:6" s="766" customFormat="1" ht="14.25" customHeight="1" thickBot="1" x14ac:dyDescent="0.25">
      <c r="A285" s="778" t="s">
        <v>529</v>
      </c>
      <c r="B285" s="772" t="s">
        <v>502</v>
      </c>
      <c r="C285" s="772"/>
      <c r="D285" s="772"/>
      <c r="E285" s="772"/>
      <c r="F285" s="786">
        <v>640</v>
      </c>
    </row>
    <row r="286" spans="1:6" s="766" customFormat="1" ht="14.25" customHeight="1" thickBot="1" x14ac:dyDescent="0.25">
      <c r="A286" s="778" t="s">
        <v>529</v>
      </c>
      <c r="B286" s="772" t="s">
        <v>505</v>
      </c>
      <c r="C286" s="772"/>
      <c r="D286" s="772"/>
      <c r="E286" s="772"/>
      <c r="F286" s="786">
        <v>850</v>
      </c>
    </row>
    <row r="287" spans="1:6" s="766" customFormat="1" ht="14.25" customHeight="1" thickBot="1" x14ac:dyDescent="0.25">
      <c r="A287" s="778" t="s">
        <v>529</v>
      </c>
      <c r="B287" s="772" t="s">
        <v>508</v>
      </c>
      <c r="C287" s="772"/>
      <c r="D287" s="772"/>
      <c r="E287" s="772"/>
      <c r="F287" s="786">
        <v>760</v>
      </c>
    </row>
    <row r="288" spans="1:6" s="766" customFormat="1" ht="14.25" customHeight="1" thickBot="1" x14ac:dyDescent="0.25">
      <c r="A288" s="778" t="s">
        <v>529</v>
      </c>
      <c r="B288" s="772" t="s">
        <v>511</v>
      </c>
      <c r="C288" s="772"/>
      <c r="D288" s="772"/>
      <c r="E288" s="772"/>
      <c r="F288" s="786">
        <v>830</v>
      </c>
    </row>
    <row r="289" spans="1:6" s="766" customFormat="1" ht="14.25" customHeight="1" thickBot="1" x14ac:dyDescent="0.25">
      <c r="A289" s="778" t="s">
        <v>529</v>
      </c>
      <c r="B289" s="784" t="s">
        <v>514</v>
      </c>
      <c r="C289" s="784"/>
      <c r="D289" s="784"/>
      <c r="E289" s="784"/>
      <c r="F289" s="789">
        <v>680</v>
      </c>
    </row>
    <row r="290" spans="1:6" s="766" customFormat="1" ht="14.25" customHeight="1" thickBot="1" x14ac:dyDescent="0.25">
      <c r="A290" s="778" t="s">
        <v>533</v>
      </c>
      <c r="B290" s="779" t="s">
        <v>534</v>
      </c>
      <c r="C290" s="779">
        <v>2770</v>
      </c>
      <c r="D290" s="779">
        <v>2740</v>
      </c>
      <c r="E290" s="779">
        <v>2720</v>
      </c>
      <c r="F290" s="792"/>
    </row>
    <row r="291" spans="1:6" s="766" customFormat="1" ht="14.25" customHeight="1" thickBot="1" x14ac:dyDescent="0.25">
      <c r="A291" s="778" t="s">
        <v>533</v>
      </c>
      <c r="B291" s="772" t="s">
        <v>195</v>
      </c>
      <c r="C291" s="772">
        <v>2670</v>
      </c>
      <c r="D291" s="772">
        <v>2640</v>
      </c>
      <c r="E291" s="772">
        <v>2620</v>
      </c>
      <c r="F291" s="790"/>
    </row>
    <row r="292" spans="1:6" s="766" customFormat="1" ht="14.25" customHeight="1" thickBot="1" x14ac:dyDescent="0.25">
      <c r="A292" s="778" t="s">
        <v>533</v>
      </c>
      <c r="B292" s="772" t="s">
        <v>535</v>
      </c>
      <c r="C292" s="772">
        <v>2180</v>
      </c>
      <c r="D292" s="772">
        <v>2140</v>
      </c>
      <c r="E292" s="772">
        <v>2120</v>
      </c>
      <c r="F292" s="786">
        <v>490</v>
      </c>
    </row>
    <row r="293" spans="1:6" s="766" customFormat="1" ht="14.25" customHeight="1" thickBot="1" x14ac:dyDescent="0.25">
      <c r="A293" s="778" t="s">
        <v>533</v>
      </c>
      <c r="B293" s="772" t="s">
        <v>536</v>
      </c>
      <c r="C293" s="772"/>
      <c r="D293" s="772"/>
      <c r="E293" s="772"/>
      <c r="F293" s="786">
        <v>470</v>
      </c>
    </row>
    <row r="294" spans="1:6" s="766" customFormat="1" ht="14.25" customHeight="1" thickBot="1" x14ac:dyDescent="0.25">
      <c r="A294" s="778" t="s">
        <v>533</v>
      </c>
      <c r="B294" s="772" t="s">
        <v>537</v>
      </c>
      <c r="C294" s="772">
        <v>2730</v>
      </c>
      <c r="D294" s="772">
        <v>2700</v>
      </c>
      <c r="E294" s="772">
        <v>2680</v>
      </c>
      <c r="F294" s="786">
        <v>490</v>
      </c>
    </row>
    <row r="295" spans="1:6" s="766" customFormat="1" ht="14.25" customHeight="1" thickBot="1" x14ac:dyDescent="0.25">
      <c r="A295" s="778" t="s">
        <v>533</v>
      </c>
      <c r="B295" s="772" t="s">
        <v>233</v>
      </c>
      <c r="C295" s="772">
        <v>2380</v>
      </c>
      <c r="D295" s="772">
        <v>2350</v>
      </c>
      <c r="E295" s="772">
        <v>2330</v>
      </c>
      <c r="F295" s="786">
        <v>530</v>
      </c>
    </row>
    <row r="296" spans="1:6" s="766" customFormat="1" ht="14.25" customHeight="1" thickBot="1" x14ac:dyDescent="0.25">
      <c r="A296" s="778" t="s">
        <v>533</v>
      </c>
      <c r="B296" s="772" t="s">
        <v>244</v>
      </c>
      <c r="C296" s="772">
        <v>2650</v>
      </c>
      <c r="D296" s="772">
        <v>2620</v>
      </c>
      <c r="E296" s="772">
        <v>2590</v>
      </c>
      <c r="F296" s="786">
        <v>590</v>
      </c>
    </row>
    <row r="297" spans="1:6" s="766" customFormat="1" ht="14.25" customHeight="1" thickBot="1" x14ac:dyDescent="0.25">
      <c r="A297" s="778" t="s">
        <v>533</v>
      </c>
      <c r="B297" s="772" t="s">
        <v>255</v>
      </c>
      <c r="C297" s="772">
        <v>2700</v>
      </c>
      <c r="D297" s="772">
        <v>2670</v>
      </c>
      <c r="E297" s="772">
        <v>2650</v>
      </c>
      <c r="F297" s="786">
        <v>630</v>
      </c>
    </row>
    <row r="298" spans="1:6" s="766" customFormat="1" ht="14.25" customHeight="1" thickBot="1" x14ac:dyDescent="0.25">
      <c r="A298" s="778" t="s">
        <v>533</v>
      </c>
      <c r="B298" s="772" t="s">
        <v>266</v>
      </c>
      <c r="C298" s="772">
        <v>2650</v>
      </c>
      <c r="D298" s="772">
        <v>2620</v>
      </c>
      <c r="E298" s="772">
        <v>2590</v>
      </c>
      <c r="F298" s="786">
        <v>640</v>
      </c>
    </row>
    <row r="299" spans="1:6" s="766" customFormat="1" ht="14.25" customHeight="1" thickBot="1" x14ac:dyDescent="0.25">
      <c r="A299" s="778" t="s">
        <v>533</v>
      </c>
      <c r="B299" s="772" t="s">
        <v>278</v>
      </c>
      <c r="C299" s="772">
        <v>2500</v>
      </c>
      <c r="D299" s="772">
        <v>2480</v>
      </c>
      <c r="E299" s="772">
        <v>2460</v>
      </c>
      <c r="F299" s="790"/>
    </row>
    <row r="300" spans="1:6" s="766" customFormat="1" ht="14.25" customHeight="1" thickBot="1" x14ac:dyDescent="0.25">
      <c r="A300" s="778" t="s">
        <v>533</v>
      </c>
      <c r="B300" s="772" t="s">
        <v>288</v>
      </c>
      <c r="C300" s="772">
        <v>2760</v>
      </c>
      <c r="D300" s="772">
        <v>2730</v>
      </c>
      <c r="E300" s="772">
        <v>2700</v>
      </c>
      <c r="F300" s="786">
        <v>630</v>
      </c>
    </row>
    <row r="301" spans="1:6" s="766" customFormat="1" ht="14.25" customHeight="1" thickBot="1" x14ac:dyDescent="0.25">
      <c r="A301" s="778" t="s">
        <v>533</v>
      </c>
      <c r="B301" s="772" t="s">
        <v>298</v>
      </c>
      <c r="C301" s="772">
        <v>2510</v>
      </c>
      <c r="D301" s="772">
        <v>2480</v>
      </c>
      <c r="E301" s="772">
        <v>2460</v>
      </c>
      <c r="F301" s="790"/>
    </row>
    <row r="302" spans="1:6" s="766" customFormat="1" ht="14.25" customHeight="1" thickBot="1" x14ac:dyDescent="0.25">
      <c r="A302" s="778" t="s">
        <v>533</v>
      </c>
      <c r="B302" s="772" t="s">
        <v>308</v>
      </c>
      <c r="C302" s="772">
        <v>2480</v>
      </c>
      <c r="D302" s="772">
        <v>2450</v>
      </c>
      <c r="E302" s="772">
        <v>2420</v>
      </c>
      <c r="F302" s="786">
        <v>600</v>
      </c>
    </row>
    <row r="303" spans="1:6" s="766" customFormat="1" ht="14.25" customHeight="1" thickBot="1" x14ac:dyDescent="0.25">
      <c r="A303" s="778" t="s">
        <v>533</v>
      </c>
      <c r="B303" s="772" t="s">
        <v>318</v>
      </c>
      <c r="C303" s="772">
        <v>2270</v>
      </c>
      <c r="D303" s="772">
        <v>2240</v>
      </c>
      <c r="E303" s="772">
        <v>2210</v>
      </c>
      <c r="F303" s="786">
        <v>540</v>
      </c>
    </row>
    <row r="304" spans="1:6" s="766" customFormat="1" ht="14.25" customHeight="1" thickBot="1" x14ac:dyDescent="0.25">
      <c r="A304" s="778" t="s">
        <v>533</v>
      </c>
      <c r="B304" s="772" t="s">
        <v>329</v>
      </c>
      <c r="C304" s="772">
        <v>2310</v>
      </c>
      <c r="D304" s="772">
        <v>2290</v>
      </c>
      <c r="E304" s="772">
        <v>2270</v>
      </c>
      <c r="F304" s="790"/>
    </row>
    <row r="305" spans="1:6" s="766" customFormat="1" ht="14.25" customHeight="1" thickBot="1" x14ac:dyDescent="0.25">
      <c r="A305" s="778" t="s">
        <v>533</v>
      </c>
      <c r="B305" s="772" t="s">
        <v>340</v>
      </c>
      <c r="C305" s="772">
        <v>2490</v>
      </c>
      <c r="D305" s="772">
        <v>2470</v>
      </c>
      <c r="E305" s="772">
        <v>2440</v>
      </c>
      <c r="F305" s="786">
        <v>560</v>
      </c>
    </row>
    <row r="306" spans="1:6" s="766" customFormat="1" ht="14.25" customHeight="1" thickBot="1" x14ac:dyDescent="0.25">
      <c r="A306" s="778" t="s">
        <v>533</v>
      </c>
      <c r="B306" s="772" t="s">
        <v>350</v>
      </c>
      <c r="C306" s="772">
        <v>2420</v>
      </c>
      <c r="D306" s="772">
        <v>2400</v>
      </c>
      <c r="E306" s="772">
        <v>2380</v>
      </c>
      <c r="F306" s="790"/>
    </row>
    <row r="307" spans="1:6" s="766" customFormat="1" ht="14.25" customHeight="1" thickBot="1" x14ac:dyDescent="0.25">
      <c r="A307" s="778" t="s">
        <v>533</v>
      </c>
      <c r="B307" s="772" t="s">
        <v>360</v>
      </c>
      <c r="C307" s="772">
        <v>2770</v>
      </c>
      <c r="D307" s="772">
        <v>2740</v>
      </c>
      <c r="E307" s="772">
        <v>2710</v>
      </c>
      <c r="F307" s="786">
        <v>650</v>
      </c>
    </row>
    <row r="308" spans="1:6" s="766" customFormat="1" ht="14.25" customHeight="1" thickBot="1" x14ac:dyDescent="0.25">
      <c r="A308" s="778" t="s">
        <v>533</v>
      </c>
      <c r="B308" s="772" t="s">
        <v>370</v>
      </c>
      <c r="C308" s="772">
        <v>2610</v>
      </c>
      <c r="D308" s="772">
        <v>2580</v>
      </c>
      <c r="E308" s="772">
        <v>2550</v>
      </c>
      <c r="F308" s="786">
        <v>580</v>
      </c>
    </row>
    <row r="309" spans="1:6" s="766" customFormat="1" ht="14.25" customHeight="1" thickBot="1" x14ac:dyDescent="0.25">
      <c r="A309" s="778" t="s">
        <v>533</v>
      </c>
      <c r="B309" s="772" t="s">
        <v>380</v>
      </c>
      <c r="C309" s="772">
        <v>2690</v>
      </c>
      <c r="D309" s="772">
        <v>2670</v>
      </c>
      <c r="E309" s="772">
        <v>2650</v>
      </c>
      <c r="F309" s="790"/>
    </row>
    <row r="310" spans="1:6" s="766" customFormat="1" ht="14.25" customHeight="1" thickBot="1" x14ac:dyDescent="0.25">
      <c r="A310" s="778" t="s">
        <v>533</v>
      </c>
      <c r="B310" s="772" t="s">
        <v>389</v>
      </c>
      <c r="C310" s="772">
        <v>2360</v>
      </c>
      <c r="D310" s="772">
        <v>2330</v>
      </c>
      <c r="E310" s="772">
        <v>2310</v>
      </c>
      <c r="F310" s="786">
        <v>560</v>
      </c>
    </row>
    <row r="311" spans="1:6" s="766" customFormat="1" ht="14.25" customHeight="1" thickBot="1" x14ac:dyDescent="0.25">
      <c r="A311" s="778" t="s">
        <v>533</v>
      </c>
      <c r="B311" s="772" t="s">
        <v>398</v>
      </c>
      <c r="C311" s="772">
        <v>1970</v>
      </c>
      <c r="D311" s="772">
        <v>1950</v>
      </c>
      <c r="E311" s="772">
        <v>1920</v>
      </c>
      <c r="F311" s="786">
        <v>470</v>
      </c>
    </row>
    <row r="312" spans="1:6" s="766" customFormat="1" ht="14.25" customHeight="1" thickBot="1" x14ac:dyDescent="0.25">
      <c r="A312" s="778" t="s">
        <v>533</v>
      </c>
      <c r="B312" s="772" t="s">
        <v>406</v>
      </c>
      <c r="C312" s="772">
        <v>2230</v>
      </c>
      <c r="D312" s="772">
        <v>2200</v>
      </c>
      <c r="E312" s="772">
        <v>2170</v>
      </c>
      <c r="F312" s="786">
        <v>460</v>
      </c>
    </row>
    <row r="313" spans="1:6" s="766" customFormat="1" ht="14.25" customHeight="1" thickBot="1" x14ac:dyDescent="0.25">
      <c r="A313" s="778" t="s">
        <v>533</v>
      </c>
      <c r="B313" s="772" t="s">
        <v>413</v>
      </c>
      <c r="C313" s="772">
        <v>2770</v>
      </c>
      <c r="D313" s="772">
        <v>2740</v>
      </c>
      <c r="E313" s="772">
        <v>2710</v>
      </c>
      <c r="F313" s="786">
        <v>610</v>
      </c>
    </row>
    <row r="314" spans="1:6" s="766" customFormat="1" ht="14.25" customHeight="1" thickBot="1" x14ac:dyDescent="0.25">
      <c r="A314" s="778" t="s">
        <v>533</v>
      </c>
      <c r="B314" s="772" t="s">
        <v>420</v>
      </c>
      <c r="C314" s="772"/>
      <c r="D314" s="772"/>
      <c r="E314" s="772"/>
      <c r="F314" s="786">
        <v>490</v>
      </c>
    </row>
    <row r="315" spans="1:6" s="766" customFormat="1" ht="14.25" customHeight="1" thickBot="1" x14ac:dyDescent="0.25">
      <c r="A315" s="778" t="s">
        <v>533</v>
      </c>
      <c r="B315" s="772" t="s">
        <v>427</v>
      </c>
      <c r="C315" s="772"/>
      <c r="D315" s="772"/>
      <c r="E315" s="772"/>
      <c r="F315" s="786">
        <v>520</v>
      </c>
    </row>
    <row r="316" spans="1:6" s="766" customFormat="1" ht="14.25" customHeight="1" thickBot="1" x14ac:dyDescent="0.25">
      <c r="A316" s="778" t="s">
        <v>533</v>
      </c>
      <c r="B316" s="784" t="s">
        <v>434</v>
      </c>
      <c r="C316" s="784"/>
      <c r="D316" s="784"/>
      <c r="E316" s="784"/>
      <c r="F316" s="789">
        <v>460</v>
      </c>
    </row>
    <row r="317" spans="1:6" s="766" customFormat="1" ht="14.25" customHeight="1" thickBot="1" x14ac:dyDescent="0.25">
      <c r="A317" s="778" t="s">
        <v>320</v>
      </c>
      <c r="B317" s="779" t="s">
        <v>538</v>
      </c>
      <c r="C317" s="779">
        <v>1200</v>
      </c>
      <c r="D317" s="779">
        <v>1180</v>
      </c>
      <c r="E317" s="779">
        <v>1160</v>
      </c>
      <c r="F317" s="780">
        <v>370</v>
      </c>
    </row>
    <row r="318" spans="1:6" s="766" customFormat="1" ht="14.25" customHeight="1" thickBot="1" x14ac:dyDescent="0.25">
      <c r="A318" s="778" t="s">
        <v>320</v>
      </c>
      <c r="B318" s="772" t="s">
        <v>539</v>
      </c>
      <c r="C318" s="772">
        <v>1090</v>
      </c>
      <c r="D318" s="772">
        <v>1060</v>
      </c>
      <c r="E318" s="772">
        <v>1040</v>
      </c>
      <c r="F318" s="790"/>
    </row>
    <row r="319" spans="1:6" s="766" customFormat="1" ht="14.25" customHeight="1" thickBot="1" x14ac:dyDescent="0.25">
      <c r="A319" s="778" t="s">
        <v>320</v>
      </c>
      <c r="B319" s="772" t="s">
        <v>540</v>
      </c>
      <c r="C319" s="772">
        <v>1520</v>
      </c>
      <c r="D319" s="772">
        <v>1470</v>
      </c>
      <c r="E319" s="772">
        <v>1440</v>
      </c>
      <c r="F319" s="786">
        <v>370</v>
      </c>
    </row>
    <row r="320" spans="1:6" s="766" customFormat="1" ht="14.25" customHeight="1" thickBot="1" x14ac:dyDescent="0.25">
      <c r="A320" s="778" t="s">
        <v>320</v>
      </c>
      <c r="B320" s="772" t="s">
        <v>222</v>
      </c>
      <c r="C320" s="772">
        <v>1360</v>
      </c>
      <c r="D320" s="772">
        <v>1300</v>
      </c>
      <c r="E320" s="772">
        <v>1270</v>
      </c>
      <c r="F320" s="790"/>
    </row>
    <row r="321" spans="1:6" s="766" customFormat="1" ht="14.25" customHeight="1" thickBot="1" x14ac:dyDescent="0.25">
      <c r="A321" s="778" t="s">
        <v>320</v>
      </c>
      <c r="B321" s="772" t="s">
        <v>234</v>
      </c>
      <c r="C321" s="772">
        <v>1750</v>
      </c>
      <c r="D321" s="772">
        <v>1690</v>
      </c>
      <c r="E321" s="772">
        <v>1660</v>
      </c>
      <c r="F321" s="790"/>
    </row>
    <row r="322" spans="1:6" s="766" customFormat="1" ht="14.25" customHeight="1" thickBot="1" x14ac:dyDescent="0.25">
      <c r="A322" s="778" t="s">
        <v>320</v>
      </c>
      <c r="B322" s="772" t="s">
        <v>245</v>
      </c>
      <c r="C322" s="772">
        <v>1650</v>
      </c>
      <c r="D322" s="772">
        <v>1610</v>
      </c>
      <c r="E322" s="772">
        <v>1580</v>
      </c>
      <c r="F322" s="786">
        <v>500</v>
      </c>
    </row>
    <row r="323" spans="1:6" s="766" customFormat="1" ht="14.25" customHeight="1" thickBot="1" x14ac:dyDescent="0.25">
      <c r="A323" s="778" t="s">
        <v>320</v>
      </c>
      <c r="B323" s="772" t="s">
        <v>256</v>
      </c>
      <c r="C323" s="772">
        <v>1780</v>
      </c>
      <c r="D323" s="772">
        <v>1740</v>
      </c>
      <c r="E323" s="772">
        <v>1720</v>
      </c>
      <c r="F323" s="790"/>
    </row>
    <row r="324" spans="1:6" s="766" customFormat="1" ht="14.25" customHeight="1" thickBot="1" x14ac:dyDescent="0.25">
      <c r="A324" s="778" t="s">
        <v>320</v>
      </c>
      <c r="B324" s="772" t="s">
        <v>267</v>
      </c>
      <c r="C324" s="772">
        <v>1650</v>
      </c>
      <c r="D324" s="772">
        <v>1610</v>
      </c>
      <c r="E324" s="772">
        <v>1580</v>
      </c>
      <c r="F324" s="790"/>
    </row>
    <row r="325" spans="1:6" s="766" customFormat="1" ht="14.25" customHeight="1" thickBot="1" x14ac:dyDescent="0.25">
      <c r="A325" s="778" t="s">
        <v>320</v>
      </c>
      <c r="B325" s="772" t="s">
        <v>279</v>
      </c>
      <c r="C325" s="772">
        <v>1330</v>
      </c>
      <c r="D325" s="772">
        <v>1270</v>
      </c>
      <c r="E325" s="772">
        <v>1240</v>
      </c>
      <c r="F325" s="786">
        <v>430</v>
      </c>
    </row>
    <row r="326" spans="1:6" s="766" customFormat="1" ht="14.25" customHeight="1" thickBot="1" x14ac:dyDescent="0.25">
      <c r="A326" s="778" t="s">
        <v>320</v>
      </c>
      <c r="B326" s="772" t="s">
        <v>289</v>
      </c>
      <c r="C326" s="772">
        <v>1470</v>
      </c>
      <c r="D326" s="772">
        <v>1430</v>
      </c>
      <c r="E326" s="772">
        <v>1400</v>
      </c>
      <c r="F326" s="790"/>
    </row>
    <row r="327" spans="1:6" s="766" customFormat="1" ht="14.25" customHeight="1" thickBot="1" x14ac:dyDescent="0.25">
      <c r="A327" s="778" t="s">
        <v>320</v>
      </c>
      <c r="B327" s="772" t="s">
        <v>299</v>
      </c>
      <c r="C327" s="772">
        <v>1420</v>
      </c>
      <c r="D327" s="772">
        <v>1380</v>
      </c>
      <c r="E327" s="772">
        <v>1360</v>
      </c>
      <c r="F327" s="786">
        <v>420</v>
      </c>
    </row>
    <row r="328" spans="1:6" s="766" customFormat="1" ht="14.25" customHeight="1" thickBot="1" x14ac:dyDescent="0.25">
      <c r="A328" s="778" t="s">
        <v>320</v>
      </c>
      <c r="B328" s="772" t="s">
        <v>309</v>
      </c>
      <c r="C328" s="772">
        <v>1400</v>
      </c>
      <c r="D328" s="772">
        <v>1360</v>
      </c>
      <c r="E328" s="772">
        <v>1330</v>
      </c>
      <c r="F328" s="786">
        <v>460</v>
      </c>
    </row>
    <row r="329" spans="1:6" s="766" customFormat="1" ht="14.25" customHeight="1" thickBot="1" x14ac:dyDescent="0.25">
      <c r="A329" s="778" t="s">
        <v>320</v>
      </c>
      <c r="B329" s="772" t="s">
        <v>319</v>
      </c>
      <c r="C329" s="772">
        <v>1640</v>
      </c>
      <c r="D329" s="772">
        <v>1610</v>
      </c>
      <c r="E329" s="772">
        <v>1580</v>
      </c>
      <c r="F329" s="786">
        <v>410</v>
      </c>
    </row>
    <row r="330" spans="1:6" s="766" customFormat="1" ht="14.25" customHeight="1" thickBot="1" x14ac:dyDescent="0.25">
      <c r="A330" s="778" t="s">
        <v>320</v>
      </c>
      <c r="B330" s="772" t="s">
        <v>330</v>
      </c>
      <c r="C330" s="772">
        <v>1260</v>
      </c>
      <c r="D330" s="772">
        <v>1220</v>
      </c>
      <c r="E330" s="772">
        <v>1200</v>
      </c>
      <c r="F330" s="790"/>
    </row>
    <row r="331" spans="1:6" s="766" customFormat="1" ht="14.25" customHeight="1" thickBot="1" x14ac:dyDescent="0.25">
      <c r="A331" s="778" t="s">
        <v>320</v>
      </c>
      <c r="B331" s="772" t="s">
        <v>341</v>
      </c>
      <c r="C331" s="772">
        <v>1620</v>
      </c>
      <c r="D331" s="772">
        <v>1560</v>
      </c>
      <c r="E331" s="772">
        <v>1530</v>
      </c>
      <c r="F331" s="786">
        <v>490</v>
      </c>
    </row>
    <row r="332" spans="1:6" s="766" customFormat="1" ht="14.25" customHeight="1" thickBot="1" x14ac:dyDescent="0.25">
      <c r="A332" s="778" t="s">
        <v>320</v>
      </c>
      <c r="B332" s="772" t="s">
        <v>351</v>
      </c>
      <c r="C332" s="772">
        <v>1520</v>
      </c>
      <c r="D332" s="772">
        <v>1470</v>
      </c>
      <c r="E332" s="772">
        <v>1440</v>
      </c>
      <c r="F332" s="786">
        <v>440</v>
      </c>
    </row>
    <row r="333" spans="1:6" s="766" customFormat="1" ht="14.25" customHeight="1" thickBot="1" x14ac:dyDescent="0.25">
      <c r="A333" s="778" t="s">
        <v>320</v>
      </c>
      <c r="B333" s="772" t="s">
        <v>361</v>
      </c>
      <c r="C333" s="772">
        <v>1370</v>
      </c>
      <c r="D333" s="772">
        <v>1320</v>
      </c>
      <c r="E333" s="772">
        <v>1300</v>
      </c>
      <c r="F333" s="786">
        <v>460</v>
      </c>
    </row>
    <row r="334" spans="1:6" s="766" customFormat="1" ht="14.25" customHeight="1" thickBot="1" x14ac:dyDescent="0.25">
      <c r="A334" s="778" t="s">
        <v>320</v>
      </c>
      <c r="B334" s="772" t="s">
        <v>371</v>
      </c>
      <c r="C334" s="772">
        <v>1410</v>
      </c>
      <c r="D334" s="772">
        <v>1340</v>
      </c>
      <c r="E334" s="772">
        <v>1310</v>
      </c>
      <c r="F334" s="786">
        <v>410</v>
      </c>
    </row>
    <row r="335" spans="1:6" s="766" customFormat="1" ht="14.25" customHeight="1" thickBot="1" x14ac:dyDescent="0.25">
      <c r="A335" s="778" t="s">
        <v>320</v>
      </c>
      <c r="B335" s="772" t="s">
        <v>381</v>
      </c>
      <c r="C335" s="772">
        <v>1260</v>
      </c>
      <c r="D335" s="772">
        <v>1220</v>
      </c>
      <c r="E335" s="772">
        <v>1200</v>
      </c>
      <c r="F335" s="790"/>
    </row>
    <row r="336" spans="1:6" s="766" customFormat="1" ht="14.25" customHeight="1" thickBot="1" x14ac:dyDescent="0.25">
      <c r="A336" s="778" t="s">
        <v>320</v>
      </c>
      <c r="B336" s="772" t="s">
        <v>390</v>
      </c>
      <c r="C336" s="772">
        <v>1160</v>
      </c>
      <c r="D336" s="772">
        <v>1140</v>
      </c>
      <c r="E336" s="772">
        <v>1120</v>
      </c>
      <c r="F336" s="786">
        <v>430</v>
      </c>
    </row>
    <row r="337" spans="1:6" s="766" customFormat="1" ht="14.25" customHeight="1" thickBot="1" x14ac:dyDescent="0.25">
      <c r="A337" s="778" t="s">
        <v>320</v>
      </c>
      <c r="B337" s="784" t="s">
        <v>399</v>
      </c>
      <c r="C337" s="784"/>
      <c r="D337" s="784"/>
      <c r="E337" s="784"/>
      <c r="F337" s="789">
        <v>380</v>
      </c>
    </row>
    <row r="338" spans="1:6" s="766" customFormat="1" ht="14.25" customHeight="1" thickBot="1" x14ac:dyDescent="0.25">
      <c r="A338" s="778" t="s">
        <v>331</v>
      </c>
      <c r="B338" s="779" t="s">
        <v>541</v>
      </c>
      <c r="C338" s="779">
        <v>880</v>
      </c>
      <c r="D338" s="779">
        <v>850</v>
      </c>
      <c r="E338" s="779">
        <v>830</v>
      </c>
      <c r="F338" s="792"/>
    </row>
    <row r="339" spans="1:6" s="766" customFormat="1" ht="14.25" customHeight="1" thickBot="1" x14ac:dyDescent="0.25">
      <c r="A339" s="778" t="s">
        <v>331</v>
      </c>
      <c r="B339" s="772" t="s">
        <v>542</v>
      </c>
      <c r="C339" s="772">
        <v>830</v>
      </c>
      <c r="D339" s="772">
        <v>800</v>
      </c>
      <c r="E339" s="772">
        <v>780</v>
      </c>
      <c r="F339" s="790"/>
    </row>
    <row r="340" spans="1:6" s="766" customFormat="1" ht="14.25" customHeight="1" thickBot="1" x14ac:dyDescent="0.25">
      <c r="A340" s="778" t="s">
        <v>331</v>
      </c>
      <c r="B340" s="772" t="s">
        <v>543</v>
      </c>
      <c r="C340" s="772">
        <v>980</v>
      </c>
      <c r="D340" s="772">
        <v>950</v>
      </c>
      <c r="E340" s="772">
        <v>920</v>
      </c>
      <c r="F340" s="790"/>
    </row>
    <row r="341" spans="1:6" s="766" customFormat="1" ht="14.25" customHeight="1" thickBot="1" x14ac:dyDescent="0.25">
      <c r="A341" s="778" t="s">
        <v>331</v>
      </c>
      <c r="B341" s="772" t="s">
        <v>544</v>
      </c>
      <c r="C341" s="772">
        <v>760</v>
      </c>
      <c r="D341" s="772">
        <v>720</v>
      </c>
      <c r="E341" s="772">
        <v>690</v>
      </c>
      <c r="F341" s="786">
        <v>350</v>
      </c>
    </row>
    <row r="342" spans="1:6" s="766" customFormat="1" ht="14.25" customHeight="1" thickBot="1" x14ac:dyDescent="0.25">
      <c r="A342" s="778" t="s">
        <v>331</v>
      </c>
      <c r="B342" s="772" t="s">
        <v>235</v>
      </c>
      <c r="C342" s="772">
        <v>910</v>
      </c>
      <c r="D342" s="772">
        <v>870</v>
      </c>
      <c r="E342" s="772">
        <v>850</v>
      </c>
      <c r="F342" s="786">
        <v>370</v>
      </c>
    </row>
    <row r="343" spans="1:6" s="766" customFormat="1" ht="14.25" customHeight="1" thickBot="1" x14ac:dyDescent="0.25">
      <c r="A343" s="778" t="s">
        <v>331</v>
      </c>
      <c r="B343" s="772" t="s">
        <v>246</v>
      </c>
      <c r="C343" s="772">
        <v>800</v>
      </c>
      <c r="D343" s="772">
        <v>760</v>
      </c>
      <c r="E343" s="772">
        <v>730</v>
      </c>
      <c r="F343" s="786">
        <v>340</v>
      </c>
    </row>
    <row r="344" spans="1:6" s="766" customFormat="1" ht="14.25" customHeight="1" thickBot="1" x14ac:dyDescent="0.25">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baseColWidth="10" defaultColWidth="8.83203125" defaultRowHeight="15" x14ac:dyDescent="0.2"/>
  <cols>
    <col min="1" max="1" width="12.6640625" style="793" customWidth="1"/>
    <col min="2" max="2" width="10.1640625" style="751" customWidth="1"/>
  </cols>
  <sheetData>
    <row r="1" spans="1:6" x14ac:dyDescent="0.2">
      <c r="A1" s="3819" t="s">
        <v>658</v>
      </c>
      <c r="B1" s="3819"/>
    </row>
    <row r="2" spans="1:6" ht="16" thickBot="1" x14ac:dyDescent="0.25">
      <c r="A2" s="952"/>
      <c r="B2" s="952"/>
    </row>
    <row r="3" spans="1:6" ht="16" thickBot="1" x14ac:dyDescent="0.25">
      <c r="A3" s="952"/>
      <c r="B3" s="952"/>
      <c r="C3" s="955" t="s">
        <v>661</v>
      </c>
      <c r="D3" s="955" t="s">
        <v>662</v>
      </c>
      <c r="E3" s="955" t="s">
        <v>663</v>
      </c>
      <c r="F3" s="955" t="s">
        <v>664</v>
      </c>
    </row>
    <row r="4" spans="1:6" ht="16" thickBot="1" x14ac:dyDescent="0.25">
      <c r="A4" s="953" t="s">
        <v>659</v>
      </c>
      <c r="B4" s="954" t="s">
        <v>660</v>
      </c>
      <c r="C4" s="955"/>
      <c r="D4" s="955"/>
      <c r="E4" s="955"/>
      <c r="F4" s="955"/>
    </row>
    <row r="5" spans="1:6" ht="16" thickBot="1" x14ac:dyDescent="0.25">
      <c r="A5" s="778" t="s">
        <v>665</v>
      </c>
      <c r="B5" s="779" t="s">
        <v>666</v>
      </c>
      <c r="C5" s="956">
        <v>8.8999999999999996E-2</v>
      </c>
      <c r="D5" s="956">
        <v>7.3999999999999996E-2</v>
      </c>
      <c r="E5" s="956">
        <v>7.4999999999999997E-2</v>
      </c>
      <c r="F5" s="957">
        <v>0.1</v>
      </c>
    </row>
    <row r="6" spans="1:6" ht="16" thickBot="1" x14ac:dyDescent="0.25">
      <c r="A6" s="778" t="s">
        <v>211</v>
      </c>
      <c r="B6" s="772" t="s">
        <v>667</v>
      </c>
      <c r="C6" s="958">
        <v>0.1</v>
      </c>
      <c r="D6" s="958">
        <v>9.0999999999999998E-2</v>
      </c>
      <c r="E6" s="958">
        <v>9.0999999999999998E-2</v>
      </c>
      <c r="F6" s="959">
        <v>0.1</v>
      </c>
    </row>
    <row r="7" spans="1:6" ht="16" thickBot="1" x14ac:dyDescent="0.25">
      <c r="A7" s="778" t="s">
        <v>211</v>
      </c>
      <c r="B7" s="782" t="s">
        <v>200</v>
      </c>
      <c r="C7" s="958">
        <v>8.5999999999999993E-2</v>
      </c>
      <c r="D7" s="958">
        <v>9.6000000000000002E-2</v>
      </c>
      <c r="E7" s="958">
        <v>7.5999999999999998E-2</v>
      </c>
      <c r="F7" s="959">
        <v>0.1</v>
      </c>
    </row>
    <row r="8" spans="1:6" ht="16" thickBot="1" x14ac:dyDescent="0.25">
      <c r="A8" s="778" t="s">
        <v>211</v>
      </c>
      <c r="B8" s="772" t="s">
        <v>212</v>
      </c>
      <c r="C8" s="958">
        <v>9.9000000000000005E-2</v>
      </c>
      <c r="D8" s="958">
        <v>9.8000000000000004E-2</v>
      </c>
      <c r="E8" s="958">
        <v>9.8000000000000004E-2</v>
      </c>
      <c r="F8" s="959">
        <v>0.1</v>
      </c>
    </row>
    <row r="9" spans="1:6" ht="16" thickBot="1" x14ac:dyDescent="0.25">
      <c r="A9" s="788" t="s">
        <v>211</v>
      </c>
      <c r="B9" s="783" t="s">
        <v>224</v>
      </c>
      <c r="C9" s="960">
        <v>0.05</v>
      </c>
      <c r="D9" s="968"/>
      <c r="E9" s="968"/>
      <c r="F9" s="969"/>
    </row>
    <row r="10" spans="1:6" ht="16" thickBot="1" x14ac:dyDescent="0.25">
      <c r="A10" s="778" t="s">
        <v>268</v>
      </c>
      <c r="B10" s="779" t="s">
        <v>668</v>
      </c>
      <c r="C10" s="956">
        <v>8.8999999999999996E-2</v>
      </c>
      <c r="D10" s="956">
        <v>7.2999999999999995E-2</v>
      </c>
      <c r="E10" s="956">
        <v>8.2000000000000003E-2</v>
      </c>
      <c r="F10" s="957">
        <v>0.1</v>
      </c>
    </row>
    <row r="11" spans="1:6" ht="16" thickBot="1" x14ac:dyDescent="0.25">
      <c r="A11" s="778" t="s">
        <v>268</v>
      </c>
      <c r="B11" s="782" t="s">
        <v>187</v>
      </c>
      <c r="C11" s="958">
        <v>8.8999999999999996E-2</v>
      </c>
      <c r="D11" s="958">
        <v>7.2999999999999995E-2</v>
      </c>
      <c r="E11" s="958">
        <v>8.2000000000000003E-2</v>
      </c>
      <c r="F11" s="959">
        <v>0.1</v>
      </c>
    </row>
    <row r="12" spans="1:6" ht="16" thickBot="1" x14ac:dyDescent="0.25">
      <c r="A12" s="778" t="s">
        <v>268</v>
      </c>
      <c r="B12" s="782" t="s">
        <v>138</v>
      </c>
      <c r="C12" s="958">
        <v>6.0999999999999999E-2</v>
      </c>
      <c r="D12" s="958">
        <v>7.0999999999999994E-2</v>
      </c>
      <c r="E12" s="958">
        <v>9.6000000000000002E-2</v>
      </c>
      <c r="F12" s="959">
        <v>0.1</v>
      </c>
    </row>
    <row r="13" spans="1:6" ht="16" thickBot="1" x14ac:dyDescent="0.25">
      <c r="A13" s="778" t="s">
        <v>268</v>
      </c>
      <c r="B13" s="782" t="s">
        <v>213</v>
      </c>
      <c r="C13" s="958">
        <v>6.9000000000000006E-2</v>
      </c>
      <c r="D13" s="958">
        <v>6.5000000000000002E-2</v>
      </c>
      <c r="E13" s="958">
        <v>6.6000000000000003E-2</v>
      </c>
      <c r="F13" s="959">
        <v>0.1</v>
      </c>
    </row>
    <row r="14" spans="1:6" ht="16" thickBot="1" x14ac:dyDescent="0.25">
      <c r="A14" s="778" t="s">
        <v>268</v>
      </c>
      <c r="B14" s="782" t="s">
        <v>225</v>
      </c>
      <c r="C14" s="958">
        <v>0.1</v>
      </c>
      <c r="D14" s="958">
        <v>6.5000000000000002E-2</v>
      </c>
      <c r="E14" s="958">
        <v>7.0000000000000007E-2</v>
      </c>
      <c r="F14" s="959">
        <v>0.1</v>
      </c>
    </row>
    <row r="15" spans="1:6" ht="16" thickBot="1" x14ac:dyDescent="0.25">
      <c r="A15" s="778" t="s">
        <v>268</v>
      </c>
      <c r="B15" s="782" t="s">
        <v>236</v>
      </c>
      <c r="C15" s="958">
        <v>9.8000000000000004E-2</v>
      </c>
      <c r="D15" s="958">
        <v>8.8999999999999996E-2</v>
      </c>
      <c r="E15" s="958">
        <v>8.8999999999999996E-2</v>
      </c>
      <c r="F15" s="959">
        <v>0.1</v>
      </c>
    </row>
    <row r="16" spans="1:6" ht="16" thickBot="1" x14ac:dyDescent="0.25">
      <c r="A16" s="778" t="s">
        <v>268</v>
      </c>
      <c r="B16" s="782" t="s">
        <v>247</v>
      </c>
      <c r="C16" s="958">
        <v>7.0000000000000007E-2</v>
      </c>
      <c r="D16" s="958">
        <v>9.2999999999999999E-2</v>
      </c>
      <c r="E16" s="958">
        <v>9.6000000000000002E-2</v>
      </c>
      <c r="F16" s="959">
        <v>0.1</v>
      </c>
    </row>
    <row r="17" spans="1:6" ht="16" thickBot="1" x14ac:dyDescent="0.25">
      <c r="A17" s="778" t="s">
        <v>268</v>
      </c>
      <c r="B17" s="782" t="s">
        <v>258</v>
      </c>
      <c r="C17" s="958">
        <v>9.5000000000000001E-2</v>
      </c>
      <c r="D17" s="958">
        <v>0.1</v>
      </c>
      <c r="E17" s="958">
        <v>0.1</v>
      </c>
      <c r="F17" s="970"/>
    </row>
    <row r="18" spans="1:6" ht="16" thickBot="1" x14ac:dyDescent="0.25">
      <c r="A18" s="778" t="s">
        <v>268</v>
      </c>
      <c r="B18" s="782" t="s">
        <v>270</v>
      </c>
      <c r="C18" s="958">
        <v>7.3999999999999996E-2</v>
      </c>
      <c r="D18" s="958">
        <v>9.9000000000000005E-2</v>
      </c>
      <c r="E18" s="958">
        <v>0.1</v>
      </c>
      <c r="F18" s="970"/>
    </row>
    <row r="19" spans="1:6" ht="16" thickBot="1" x14ac:dyDescent="0.25">
      <c r="A19" s="778" t="s">
        <v>268</v>
      </c>
      <c r="B19" s="782" t="s">
        <v>280</v>
      </c>
      <c r="C19" s="958">
        <v>9.9000000000000005E-2</v>
      </c>
      <c r="D19" s="958">
        <v>7.5999999999999998E-2</v>
      </c>
      <c r="E19" s="958">
        <v>8.6999999999999994E-2</v>
      </c>
      <c r="F19" s="970"/>
    </row>
    <row r="20" spans="1:6" ht="16" thickBot="1" x14ac:dyDescent="0.25">
      <c r="A20" s="778" t="s">
        <v>268</v>
      </c>
      <c r="B20" s="782" t="s">
        <v>290</v>
      </c>
      <c r="C20" s="958">
        <v>9.8000000000000004E-2</v>
      </c>
      <c r="D20" s="958">
        <v>8.5000000000000006E-2</v>
      </c>
      <c r="E20" s="958">
        <v>8.2000000000000003E-2</v>
      </c>
      <c r="F20" s="970"/>
    </row>
    <row r="21" spans="1:6" ht="16" thickBot="1" x14ac:dyDescent="0.25">
      <c r="A21" s="778" t="s">
        <v>268</v>
      </c>
      <c r="B21" s="782" t="s">
        <v>300</v>
      </c>
      <c r="C21" s="958">
        <v>6.6000000000000003E-2</v>
      </c>
      <c r="D21" s="958">
        <v>6.4000000000000001E-2</v>
      </c>
      <c r="E21" s="958">
        <v>6.5000000000000002E-2</v>
      </c>
      <c r="F21" s="970"/>
    </row>
    <row r="22" spans="1:6" ht="16" thickBot="1" x14ac:dyDescent="0.25">
      <c r="A22" s="778" t="s">
        <v>268</v>
      </c>
      <c r="B22" s="782" t="s">
        <v>669</v>
      </c>
      <c r="C22" s="958">
        <v>0.08</v>
      </c>
      <c r="D22" s="958">
        <v>9.8000000000000004E-2</v>
      </c>
      <c r="E22" s="958">
        <v>9.8000000000000004E-2</v>
      </c>
      <c r="F22" s="970"/>
    </row>
    <row r="23" spans="1:6" ht="16" thickBot="1" x14ac:dyDescent="0.25">
      <c r="A23" s="778" t="s">
        <v>268</v>
      </c>
      <c r="B23" s="782" t="s">
        <v>321</v>
      </c>
      <c r="C23" s="958">
        <v>9.9000000000000005E-2</v>
      </c>
      <c r="D23" s="958">
        <v>9.8000000000000004E-2</v>
      </c>
      <c r="E23" s="958">
        <v>9.0999999999999998E-2</v>
      </c>
      <c r="F23" s="970"/>
    </row>
    <row r="24" spans="1:6" ht="16" thickBot="1" x14ac:dyDescent="0.25">
      <c r="A24" s="778" t="s">
        <v>268</v>
      </c>
      <c r="B24" s="782" t="s">
        <v>332</v>
      </c>
      <c r="C24" s="958">
        <v>8.8999999999999996E-2</v>
      </c>
      <c r="D24" s="958">
        <v>9.7000000000000003E-2</v>
      </c>
      <c r="E24" s="958">
        <v>7.0000000000000007E-2</v>
      </c>
      <c r="F24" s="970"/>
    </row>
    <row r="25" spans="1:6" ht="16" thickBot="1" x14ac:dyDescent="0.25">
      <c r="A25" s="778" t="s">
        <v>268</v>
      </c>
      <c r="B25" s="782" t="s">
        <v>342</v>
      </c>
      <c r="C25" s="958">
        <v>8.8999999999999996E-2</v>
      </c>
      <c r="D25" s="958">
        <v>0.1</v>
      </c>
      <c r="E25" s="958">
        <v>8.1000000000000003E-2</v>
      </c>
      <c r="F25" s="970"/>
    </row>
    <row r="26" spans="1:6" ht="16" thickBot="1" x14ac:dyDescent="0.25">
      <c r="A26" s="778" t="s">
        <v>268</v>
      </c>
      <c r="B26" s="782" t="s">
        <v>352</v>
      </c>
      <c r="C26" s="971"/>
      <c r="D26" s="958">
        <v>9.6000000000000002E-2</v>
      </c>
      <c r="E26" s="958">
        <v>9.2999999999999999E-2</v>
      </c>
      <c r="F26" s="970"/>
    </row>
    <row r="27" spans="1:6" ht="16" thickBot="1" x14ac:dyDescent="0.25">
      <c r="A27" s="778" t="s">
        <v>268</v>
      </c>
      <c r="B27" s="782" t="s">
        <v>362</v>
      </c>
      <c r="C27" s="971"/>
      <c r="D27" s="958">
        <v>7.5999999999999998E-2</v>
      </c>
      <c r="E27" s="958">
        <v>9.1999999999999998E-2</v>
      </c>
      <c r="F27" s="970"/>
    </row>
    <row r="28" spans="1:6" ht="16" thickBot="1" x14ac:dyDescent="0.25">
      <c r="A28" s="788" t="s">
        <v>268</v>
      </c>
      <c r="B28" s="783" t="s">
        <v>372</v>
      </c>
      <c r="C28" s="968"/>
      <c r="D28" s="960">
        <v>7.5999999999999998E-2</v>
      </c>
      <c r="E28" s="960">
        <v>9.1999999999999998E-2</v>
      </c>
      <c r="F28" s="969"/>
    </row>
    <row r="29" spans="1:6" ht="16" thickBot="1" x14ac:dyDescent="0.25">
      <c r="A29" s="778" t="s">
        <v>441</v>
      </c>
      <c r="B29" s="779" t="s">
        <v>670</v>
      </c>
      <c r="C29" s="956">
        <v>6.4000000000000001E-2</v>
      </c>
      <c r="D29" s="956">
        <v>6.5000000000000002E-2</v>
      </c>
      <c r="E29" s="956">
        <v>6.9000000000000006E-2</v>
      </c>
      <c r="F29" s="957">
        <v>0.1</v>
      </c>
    </row>
    <row r="30" spans="1:6" ht="16" thickBot="1" x14ac:dyDescent="0.25">
      <c r="A30" s="778" t="s">
        <v>441</v>
      </c>
      <c r="B30" s="782" t="s">
        <v>188</v>
      </c>
      <c r="C30" s="958">
        <v>6.4000000000000001E-2</v>
      </c>
      <c r="D30" s="958">
        <v>9.9000000000000005E-2</v>
      </c>
      <c r="E30" s="958">
        <v>0.1</v>
      </c>
      <c r="F30" s="959">
        <v>0.1</v>
      </c>
    </row>
    <row r="31" spans="1:6" ht="16" thickBot="1" x14ac:dyDescent="0.25">
      <c r="A31" s="778" t="s">
        <v>441</v>
      </c>
      <c r="B31" s="782" t="s">
        <v>201</v>
      </c>
      <c r="C31" s="958">
        <v>0.1</v>
      </c>
      <c r="D31" s="958">
        <v>9.5000000000000001E-2</v>
      </c>
      <c r="E31" s="958">
        <v>8.8999999999999996E-2</v>
      </c>
      <c r="F31" s="959">
        <v>0.1</v>
      </c>
    </row>
    <row r="32" spans="1:6" ht="16" thickBot="1" x14ac:dyDescent="0.25">
      <c r="A32" s="778" t="s">
        <v>441</v>
      </c>
      <c r="B32" s="782" t="s">
        <v>214</v>
      </c>
      <c r="C32" s="958">
        <v>0.05</v>
      </c>
      <c r="D32" s="958">
        <v>0.05</v>
      </c>
      <c r="E32" s="958">
        <v>8.7999999999999995E-2</v>
      </c>
      <c r="F32" s="959">
        <v>0.1</v>
      </c>
    </row>
    <row r="33" spans="1:6" ht="16" thickBot="1" x14ac:dyDescent="0.25">
      <c r="A33" s="778" t="s">
        <v>441</v>
      </c>
      <c r="B33" s="782" t="s">
        <v>226</v>
      </c>
      <c r="C33" s="958">
        <v>7.4999999999999997E-2</v>
      </c>
      <c r="D33" s="958">
        <v>9.4E-2</v>
      </c>
      <c r="E33" s="958">
        <v>9.7000000000000003E-2</v>
      </c>
      <c r="F33" s="959">
        <v>0.1</v>
      </c>
    </row>
    <row r="34" spans="1:6" ht="16" thickBot="1" x14ac:dyDescent="0.25">
      <c r="A34" s="778" t="s">
        <v>441</v>
      </c>
      <c r="B34" s="782" t="s">
        <v>237</v>
      </c>
      <c r="C34" s="958">
        <v>9.8000000000000004E-2</v>
      </c>
      <c r="D34" s="958">
        <v>8.5999999999999993E-2</v>
      </c>
      <c r="E34" s="958">
        <v>9.7000000000000003E-2</v>
      </c>
      <c r="F34" s="959">
        <v>0.1</v>
      </c>
    </row>
    <row r="35" spans="1:6" ht="16" thickBot="1" x14ac:dyDescent="0.25">
      <c r="A35" s="778" t="s">
        <v>441</v>
      </c>
      <c r="B35" s="782" t="s">
        <v>248</v>
      </c>
      <c r="C35" s="958">
        <v>5.8999999999999997E-2</v>
      </c>
      <c r="D35" s="958">
        <v>6.5000000000000002E-2</v>
      </c>
      <c r="E35" s="958">
        <v>7.0000000000000007E-2</v>
      </c>
      <c r="F35" s="959">
        <v>0.1</v>
      </c>
    </row>
    <row r="36" spans="1:6" ht="16" thickBot="1" x14ac:dyDescent="0.25">
      <c r="A36" s="778" t="s">
        <v>441</v>
      </c>
      <c r="B36" s="782" t="s">
        <v>259</v>
      </c>
      <c r="C36" s="958">
        <v>6.3E-2</v>
      </c>
      <c r="D36" s="958">
        <v>0.1</v>
      </c>
      <c r="E36" s="958">
        <v>0.1</v>
      </c>
      <c r="F36" s="959">
        <v>0.1</v>
      </c>
    </row>
    <row r="37" spans="1:6" ht="16" thickBot="1" x14ac:dyDescent="0.25">
      <c r="A37" s="778" t="s">
        <v>441</v>
      </c>
      <c r="B37" s="782" t="s">
        <v>271</v>
      </c>
      <c r="C37" s="958">
        <v>7.3999999999999996E-2</v>
      </c>
      <c r="D37" s="958">
        <v>0.1</v>
      </c>
      <c r="E37" s="958">
        <v>0.1</v>
      </c>
      <c r="F37" s="959">
        <v>0.1</v>
      </c>
    </row>
    <row r="38" spans="1:6" ht="16" thickBot="1" x14ac:dyDescent="0.25">
      <c r="A38" s="778" t="s">
        <v>441</v>
      </c>
      <c r="B38" s="782" t="s">
        <v>281</v>
      </c>
      <c r="C38" s="958">
        <v>0.1</v>
      </c>
      <c r="D38" s="958">
        <v>9.6000000000000002E-2</v>
      </c>
      <c r="E38" s="958">
        <v>9.6000000000000002E-2</v>
      </c>
      <c r="F38" s="970"/>
    </row>
    <row r="39" spans="1:6" ht="16" thickBot="1" x14ac:dyDescent="0.25">
      <c r="A39" s="778" t="s">
        <v>441</v>
      </c>
      <c r="B39" s="782" t="s">
        <v>291</v>
      </c>
      <c r="C39" s="958">
        <v>0.1</v>
      </c>
      <c r="D39" s="958">
        <v>9.6000000000000002E-2</v>
      </c>
      <c r="E39" s="958">
        <v>9.6000000000000002E-2</v>
      </c>
      <c r="F39" s="970"/>
    </row>
    <row r="40" spans="1:6" ht="16" thickBot="1" x14ac:dyDescent="0.25">
      <c r="A40" s="778" t="s">
        <v>441</v>
      </c>
      <c r="B40" s="782" t="s">
        <v>301</v>
      </c>
      <c r="C40" s="958">
        <v>9.6000000000000002E-2</v>
      </c>
      <c r="D40" s="958">
        <v>0.1</v>
      </c>
      <c r="E40" s="958">
        <v>9.9000000000000005E-2</v>
      </c>
      <c r="F40" s="970"/>
    </row>
    <row r="41" spans="1:6" ht="16" thickBot="1" x14ac:dyDescent="0.25">
      <c r="A41" s="778" t="s">
        <v>441</v>
      </c>
      <c r="B41" s="782" t="s">
        <v>311</v>
      </c>
      <c r="C41" s="958">
        <v>9.6000000000000002E-2</v>
      </c>
      <c r="D41" s="958">
        <v>9.8000000000000004E-2</v>
      </c>
      <c r="E41" s="958">
        <v>9.8000000000000004E-2</v>
      </c>
      <c r="F41" s="970"/>
    </row>
    <row r="42" spans="1:6" ht="16" thickBot="1" x14ac:dyDescent="0.25">
      <c r="A42" s="778" t="s">
        <v>441</v>
      </c>
      <c r="B42" s="782" t="s">
        <v>322</v>
      </c>
      <c r="C42" s="958">
        <v>0.1</v>
      </c>
      <c r="D42" s="958">
        <v>8.7999999999999995E-2</v>
      </c>
      <c r="E42" s="958">
        <v>0.1</v>
      </c>
      <c r="F42" s="970"/>
    </row>
    <row r="43" spans="1:6" ht="16" thickBot="1" x14ac:dyDescent="0.25">
      <c r="A43" s="778" t="s">
        <v>441</v>
      </c>
      <c r="B43" s="782" t="s">
        <v>333</v>
      </c>
      <c r="C43" s="958">
        <v>9.8000000000000004E-2</v>
      </c>
      <c r="D43" s="958">
        <v>9.7000000000000003E-2</v>
      </c>
      <c r="E43" s="958">
        <v>9.6000000000000002E-2</v>
      </c>
      <c r="F43" s="970"/>
    </row>
    <row r="44" spans="1:6" ht="16" thickBot="1" x14ac:dyDescent="0.25">
      <c r="A44" s="778" t="s">
        <v>441</v>
      </c>
      <c r="B44" s="782" t="s">
        <v>343</v>
      </c>
      <c r="C44" s="958">
        <v>8.5999999999999993E-2</v>
      </c>
      <c r="D44" s="958">
        <v>7.9000000000000001E-2</v>
      </c>
      <c r="E44" s="958">
        <v>7.0999999999999994E-2</v>
      </c>
      <c r="F44" s="970"/>
    </row>
    <row r="45" spans="1:6" ht="16" thickBot="1" x14ac:dyDescent="0.25">
      <c r="A45" s="778" t="s">
        <v>441</v>
      </c>
      <c r="B45" s="782" t="s">
        <v>353</v>
      </c>
      <c r="C45" s="958">
        <v>9.8000000000000004E-2</v>
      </c>
      <c r="D45" s="958">
        <v>9.6000000000000002E-2</v>
      </c>
      <c r="E45" s="958">
        <v>9.6000000000000002E-2</v>
      </c>
      <c r="F45" s="970"/>
    </row>
    <row r="46" spans="1:6" ht="16" thickBot="1" x14ac:dyDescent="0.25">
      <c r="A46" s="778" t="s">
        <v>441</v>
      </c>
      <c r="B46" s="782" t="s">
        <v>363</v>
      </c>
      <c r="C46" s="958">
        <v>8.5999999999999993E-2</v>
      </c>
      <c r="D46" s="958">
        <v>9.8000000000000004E-2</v>
      </c>
      <c r="E46" s="958">
        <v>8.7999999999999995E-2</v>
      </c>
      <c r="F46" s="970"/>
    </row>
    <row r="47" spans="1:6" ht="16" thickBot="1" x14ac:dyDescent="0.25">
      <c r="A47" s="778" t="s">
        <v>441</v>
      </c>
      <c r="B47" s="782" t="s">
        <v>373</v>
      </c>
      <c r="C47" s="958">
        <v>9.6000000000000002E-2</v>
      </c>
      <c r="D47" s="971"/>
      <c r="E47" s="958">
        <v>6.9000000000000006E-2</v>
      </c>
      <c r="F47" s="970"/>
    </row>
    <row r="48" spans="1:6" ht="16" thickBot="1" x14ac:dyDescent="0.25">
      <c r="A48" s="788" t="s">
        <v>441</v>
      </c>
      <c r="B48" s="783" t="s">
        <v>382</v>
      </c>
      <c r="C48" s="960">
        <v>9.8000000000000004E-2</v>
      </c>
      <c r="D48" s="968"/>
      <c r="E48" s="960">
        <v>9.5000000000000001E-2</v>
      </c>
      <c r="F48" s="969"/>
    </row>
    <row r="49" spans="1:6" ht="16" thickBot="1" x14ac:dyDescent="0.25">
      <c r="A49" s="778" t="s">
        <v>137</v>
      </c>
      <c r="B49" s="779" t="s">
        <v>671</v>
      </c>
      <c r="C49" s="956">
        <v>9.7000000000000003E-2</v>
      </c>
      <c r="D49" s="956">
        <v>9.5000000000000001E-2</v>
      </c>
      <c r="E49" s="956">
        <v>9.7000000000000003E-2</v>
      </c>
      <c r="F49" s="957">
        <v>0.1</v>
      </c>
    </row>
    <row r="50" spans="1:6" ht="16" thickBot="1" x14ac:dyDescent="0.25">
      <c r="A50" s="778" t="s">
        <v>137</v>
      </c>
      <c r="B50" s="772" t="s">
        <v>189</v>
      </c>
      <c r="C50" s="958">
        <v>7.4999999999999997E-2</v>
      </c>
      <c r="D50" s="958">
        <v>9.5000000000000001E-2</v>
      </c>
      <c r="E50" s="958">
        <v>0.1</v>
      </c>
      <c r="F50" s="959">
        <v>0.1</v>
      </c>
    </row>
    <row r="51" spans="1:6" ht="16" thickBot="1" x14ac:dyDescent="0.25">
      <c r="A51" s="778" t="s">
        <v>137</v>
      </c>
      <c r="B51" s="772" t="s">
        <v>202</v>
      </c>
      <c r="C51" s="958">
        <v>9.8000000000000004E-2</v>
      </c>
      <c r="D51" s="958">
        <v>8.8999999999999996E-2</v>
      </c>
      <c r="E51" s="958">
        <v>0.1</v>
      </c>
      <c r="F51" s="959">
        <v>0.1</v>
      </c>
    </row>
    <row r="52" spans="1:6" ht="16" thickBot="1" x14ac:dyDescent="0.25">
      <c r="A52" s="778" t="s">
        <v>137</v>
      </c>
      <c r="B52" s="772" t="s">
        <v>215</v>
      </c>
      <c r="C52" s="958">
        <v>9.8000000000000004E-2</v>
      </c>
      <c r="D52" s="958">
        <v>9.7000000000000003E-2</v>
      </c>
      <c r="E52" s="958">
        <v>8.1000000000000003E-2</v>
      </c>
      <c r="F52" s="959">
        <v>0.1</v>
      </c>
    </row>
    <row r="53" spans="1:6" ht="16" thickBot="1" x14ac:dyDescent="0.25">
      <c r="A53" s="778" t="s">
        <v>137</v>
      </c>
      <c r="B53" s="772" t="s">
        <v>227</v>
      </c>
      <c r="C53" s="958">
        <v>9.7000000000000003E-2</v>
      </c>
      <c r="D53" s="958">
        <v>7.5999999999999998E-2</v>
      </c>
      <c r="E53" s="958">
        <v>7.0999999999999994E-2</v>
      </c>
      <c r="F53" s="959">
        <v>0.1</v>
      </c>
    </row>
    <row r="54" spans="1:6" ht="16" thickBot="1" x14ac:dyDescent="0.25">
      <c r="A54" s="778" t="s">
        <v>137</v>
      </c>
      <c r="B54" s="772" t="s">
        <v>238</v>
      </c>
      <c r="C54" s="958">
        <v>7.5999999999999998E-2</v>
      </c>
      <c r="D54" s="958">
        <v>0.1</v>
      </c>
      <c r="E54" s="958">
        <v>9.9000000000000005E-2</v>
      </c>
      <c r="F54" s="959">
        <v>0.1</v>
      </c>
    </row>
    <row r="55" spans="1:6" ht="16" thickBot="1" x14ac:dyDescent="0.25">
      <c r="A55" s="778" t="s">
        <v>137</v>
      </c>
      <c r="B55" s="772" t="s">
        <v>249</v>
      </c>
      <c r="C55" s="958">
        <v>0.1</v>
      </c>
      <c r="D55" s="958">
        <v>0.1</v>
      </c>
      <c r="E55" s="958">
        <v>9.6000000000000002E-2</v>
      </c>
      <c r="F55" s="959">
        <v>0.1</v>
      </c>
    </row>
    <row r="56" spans="1:6" ht="16" thickBot="1" x14ac:dyDescent="0.25">
      <c r="A56" s="778" t="s">
        <v>137</v>
      </c>
      <c r="B56" s="772" t="s">
        <v>260</v>
      </c>
      <c r="C56" s="958">
        <v>0.1</v>
      </c>
      <c r="D56" s="958">
        <v>9.6000000000000002E-2</v>
      </c>
      <c r="E56" s="958">
        <v>5.1999999999999998E-2</v>
      </c>
      <c r="F56" s="959">
        <v>0.1</v>
      </c>
    </row>
    <row r="57" spans="1:6" ht="16" thickBot="1" x14ac:dyDescent="0.25">
      <c r="A57" s="778" t="s">
        <v>137</v>
      </c>
      <c r="B57" s="772" t="s">
        <v>272</v>
      </c>
      <c r="C57" s="958">
        <v>9.7000000000000003E-2</v>
      </c>
      <c r="D57" s="958">
        <v>9.6000000000000002E-2</v>
      </c>
      <c r="E57" s="958">
        <v>9.6000000000000002E-2</v>
      </c>
      <c r="F57" s="959">
        <v>0.1</v>
      </c>
    </row>
    <row r="58" spans="1:6" ht="16" thickBot="1" x14ac:dyDescent="0.25">
      <c r="A58" s="778" t="s">
        <v>137</v>
      </c>
      <c r="B58" s="772" t="s">
        <v>282</v>
      </c>
      <c r="C58" s="958">
        <v>9.6000000000000002E-2</v>
      </c>
      <c r="D58" s="958">
        <v>9.9000000000000005E-2</v>
      </c>
      <c r="E58" s="958">
        <v>9.6000000000000002E-2</v>
      </c>
      <c r="F58" s="959">
        <v>0.1</v>
      </c>
    </row>
    <row r="59" spans="1:6" ht="16" thickBot="1" x14ac:dyDescent="0.25">
      <c r="A59" s="778" t="s">
        <v>137</v>
      </c>
      <c r="B59" s="772" t="s">
        <v>292</v>
      </c>
      <c r="C59" s="958">
        <v>7.1999999999999995E-2</v>
      </c>
      <c r="D59" s="958">
        <v>9.6000000000000002E-2</v>
      </c>
      <c r="E59" s="958">
        <v>7.0999999999999994E-2</v>
      </c>
      <c r="F59" s="959">
        <v>0.1</v>
      </c>
    </row>
    <row r="60" spans="1:6" ht="16" thickBot="1" x14ac:dyDescent="0.25">
      <c r="A60" s="778" t="s">
        <v>137</v>
      </c>
      <c r="B60" s="772" t="s">
        <v>302</v>
      </c>
      <c r="C60" s="958">
        <v>9.6000000000000002E-2</v>
      </c>
      <c r="D60" s="958">
        <v>8.8999999999999996E-2</v>
      </c>
      <c r="E60" s="958">
        <v>9.6000000000000002E-2</v>
      </c>
      <c r="F60" s="959">
        <v>0.1</v>
      </c>
    </row>
    <row r="61" spans="1:6" ht="16" thickBot="1" x14ac:dyDescent="0.25">
      <c r="A61" s="778" t="s">
        <v>137</v>
      </c>
      <c r="B61" s="772" t="s">
        <v>312</v>
      </c>
      <c r="C61" s="958">
        <v>8.8999999999999996E-2</v>
      </c>
      <c r="D61" s="958">
        <v>9.8000000000000004E-2</v>
      </c>
      <c r="E61" s="958">
        <v>8.7999999999999995E-2</v>
      </c>
      <c r="F61" s="970"/>
    </row>
    <row r="62" spans="1:6" ht="16" thickBot="1" x14ac:dyDescent="0.25">
      <c r="A62" s="778" t="s">
        <v>137</v>
      </c>
      <c r="B62" s="772" t="s">
        <v>323</v>
      </c>
      <c r="C62" s="958">
        <v>9.8000000000000004E-2</v>
      </c>
      <c r="D62" s="958">
        <v>9.2999999999999999E-2</v>
      </c>
      <c r="E62" s="958">
        <v>9.7000000000000003E-2</v>
      </c>
      <c r="F62" s="970"/>
    </row>
    <row r="63" spans="1:6" ht="16" thickBot="1" x14ac:dyDescent="0.25">
      <c r="A63" s="778" t="s">
        <v>137</v>
      </c>
      <c r="B63" s="772" t="s">
        <v>334</v>
      </c>
      <c r="C63" s="958">
        <v>9.6000000000000002E-2</v>
      </c>
      <c r="D63" s="958">
        <v>9.8000000000000004E-2</v>
      </c>
      <c r="E63" s="958">
        <v>0.09</v>
      </c>
      <c r="F63" s="970"/>
    </row>
    <row r="64" spans="1:6" ht="16" thickBot="1" x14ac:dyDescent="0.25">
      <c r="A64" s="778" t="s">
        <v>137</v>
      </c>
      <c r="B64" s="772" t="s">
        <v>344</v>
      </c>
      <c r="C64" s="958">
        <v>9.9000000000000005E-2</v>
      </c>
      <c r="D64" s="958">
        <v>9.7000000000000003E-2</v>
      </c>
      <c r="E64" s="958">
        <v>9.9000000000000005E-2</v>
      </c>
      <c r="F64" s="970"/>
    </row>
    <row r="65" spans="1:6" ht="16" thickBot="1" x14ac:dyDescent="0.25">
      <c r="A65" s="778" t="s">
        <v>137</v>
      </c>
      <c r="B65" s="772" t="s">
        <v>354</v>
      </c>
      <c r="C65" s="958">
        <v>9.8000000000000004E-2</v>
      </c>
      <c r="D65" s="958">
        <v>9.6000000000000002E-2</v>
      </c>
      <c r="E65" s="958">
        <v>9.6000000000000002E-2</v>
      </c>
      <c r="F65" s="970"/>
    </row>
    <row r="66" spans="1:6" ht="16" thickBot="1" x14ac:dyDescent="0.25">
      <c r="A66" s="778" t="s">
        <v>137</v>
      </c>
      <c r="B66" s="772" t="s">
        <v>364</v>
      </c>
      <c r="C66" s="958">
        <v>9.6000000000000002E-2</v>
      </c>
      <c r="D66" s="958">
        <v>9.1999999999999998E-2</v>
      </c>
      <c r="E66" s="958">
        <v>9.6000000000000002E-2</v>
      </c>
      <c r="F66" s="970"/>
    </row>
    <row r="67" spans="1:6" ht="16" thickBot="1" x14ac:dyDescent="0.25">
      <c r="A67" s="778" t="s">
        <v>137</v>
      </c>
      <c r="B67" s="772" t="s">
        <v>374</v>
      </c>
      <c r="C67" s="958">
        <v>9.4E-2</v>
      </c>
      <c r="D67" s="958">
        <v>0.1</v>
      </c>
      <c r="E67" s="958">
        <v>8.7999999999999995E-2</v>
      </c>
      <c r="F67" s="970"/>
    </row>
    <row r="68" spans="1:6" ht="16" thickBot="1" x14ac:dyDescent="0.25">
      <c r="A68" s="778" t="s">
        <v>137</v>
      </c>
      <c r="B68" s="772" t="s">
        <v>383</v>
      </c>
      <c r="C68" s="958">
        <v>0.1</v>
      </c>
      <c r="D68" s="958">
        <v>8.7999999999999995E-2</v>
      </c>
      <c r="E68" s="958">
        <v>9.7000000000000003E-2</v>
      </c>
      <c r="F68" s="970"/>
    </row>
    <row r="69" spans="1:6" ht="16" thickBot="1" x14ac:dyDescent="0.25">
      <c r="A69" s="778" t="s">
        <v>137</v>
      </c>
      <c r="B69" s="772" t="s">
        <v>392</v>
      </c>
      <c r="C69" s="958">
        <v>6.4000000000000001E-2</v>
      </c>
      <c r="D69" s="958">
        <v>0.1</v>
      </c>
      <c r="E69" s="958">
        <v>0.1</v>
      </c>
      <c r="F69" s="970"/>
    </row>
    <row r="70" spans="1:6" ht="16" thickBot="1" x14ac:dyDescent="0.25">
      <c r="A70" s="778" t="s">
        <v>137</v>
      </c>
      <c r="B70" s="772" t="s">
        <v>400</v>
      </c>
      <c r="C70" s="958">
        <v>9.0999999999999998E-2</v>
      </c>
      <c r="D70" s="971"/>
      <c r="E70" s="971"/>
      <c r="F70" s="970"/>
    </row>
    <row r="71" spans="1:6" ht="16" thickBot="1" x14ac:dyDescent="0.25">
      <c r="A71" s="778" t="s">
        <v>137</v>
      </c>
      <c r="B71" s="772" t="s">
        <v>407</v>
      </c>
      <c r="C71" s="958">
        <v>0.1</v>
      </c>
      <c r="D71" s="971"/>
      <c r="E71" s="971"/>
      <c r="F71" s="970"/>
    </row>
    <row r="72" spans="1:6" ht="16" thickBot="1" x14ac:dyDescent="0.25">
      <c r="A72" s="778" t="s">
        <v>137</v>
      </c>
      <c r="B72" s="772" t="s">
        <v>672</v>
      </c>
      <c r="C72" s="971"/>
      <c r="D72" s="971"/>
      <c r="E72" s="971"/>
      <c r="F72" s="959">
        <v>0.05</v>
      </c>
    </row>
    <row r="73" spans="1:6" ht="16" thickBot="1" x14ac:dyDescent="0.25">
      <c r="A73" s="778" t="s">
        <v>137</v>
      </c>
      <c r="B73" s="772" t="s">
        <v>673</v>
      </c>
      <c r="C73" s="971"/>
      <c r="D73" s="971"/>
      <c r="E73" s="971"/>
      <c r="F73" s="959">
        <v>0.05</v>
      </c>
    </row>
    <row r="74" spans="1:6" ht="16" thickBot="1" x14ac:dyDescent="0.25">
      <c r="A74" s="778" t="s">
        <v>137</v>
      </c>
      <c r="B74" s="772" t="s">
        <v>674</v>
      </c>
      <c r="C74" s="971"/>
      <c r="D74" s="971"/>
      <c r="E74" s="971"/>
      <c r="F74" s="959">
        <v>0.05</v>
      </c>
    </row>
    <row r="75" spans="1:6" ht="16" thickBot="1" x14ac:dyDescent="0.25">
      <c r="A75" s="788" t="s">
        <v>137</v>
      </c>
      <c r="B75" s="784" t="s">
        <v>675</v>
      </c>
      <c r="C75" s="968"/>
      <c r="D75" s="968"/>
      <c r="E75" s="968"/>
      <c r="F75" s="961">
        <v>0.05</v>
      </c>
    </row>
    <row r="76" spans="1:6" ht="16" thickBot="1" x14ac:dyDescent="0.25">
      <c r="A76" s="778" t="s">
        <v>522</v>
      </c>
      <c r="B76" s="779" t="s">
        <v>676</v>
      </c>
      <c r="C76" s="956">
        <v>0.1</v>
      </c>
      <c r="D76" s="956">
        <v>0.1</v>
      </c>
      <c r="E76" s="956">
        <v>0.1</v>
      </c>
      <c r="F76" s="957">
        <v>0.1</v>
      </c>
    </row>
    <row r="77" spans="1:6" ht="16" thickBot="1" x14ac:dyDescent="0.25">
      <c r="A77" s="778" t="s">
        <v>522</v>
      </c>
      <c r="B77" s="772" t="s">
        <v>190</v>
      </c>
      <c r="C77" s="958">
        <v>8.7999999999999995E-2</v>
      </c>
      <c r="D77" s="958">
        <v>8.6999999999999994E-2</v>
      </c>
      <c r="E77" s="958">
        <v>7.9000000000000001E-2</v>
      </c>
      <c r="F77" s="959">
        <v>0.1</v>
      </c>
    </row>
    <row r="78" spans="1:6" ht="16" thickBot="1" x14ac:dyDescent="0.25">
      <c r="A78" s="778" t="s">
        <v>522</v>
      </c>
      <c r="B78" s="772" t="s">
        <v>203</v>
      </c>
      <c r="C78" s="958">
        <v>8.6999999999999994E-2</v>
      </c>
      <c r="D78" s="958">
        <v>8.4000000000000005E-2</v>
      </c>
      <c r="E78" s="958">
        <v>9.6000000000000002E-2</v>
      </c>
      <c r="F78" s="959">
        <v>0.1</v>
      </c>
    </row>
    <row r="79" spans="1:6" ht="16" thickBot="1" x14ac:dyDescent="0.25">
      <c r="A79" s="778" t="s">
        <v>522</v>
      </c>
      <c r="B79" s="772" t="s">
        <v>216</v>
      </c>
      <c r="C79" s="958">
        <v>9.8000000000000004E-2</v>
      </c>
      <c r="D79" s="958">
        <v>9.8000000000000004E-2</v>
      </c>
      <c r="E79" s="958">
        <v>9.0999999999999998E-2</v>
      </c>
      <c r="F79" s="959">
        <v>0.1</v>
      </c>
    </row>
    <row r="80" spans="1:6" ht="16" thickBot="1" x14ac:dyDescent="0.25">
      <c r="A80" s="778" t="s">
        <v>522</v>
      </c>
      <c r="B80" s="772" t="s">
        <v>228</v>
      </c>
      <c r="C80" s="958">
        <v>9.6000000000000002E-2</v>
      </c>
      <c r="D80" s="958">
        <v>9.6000000000000002E-2</v>
      </c>
      <c r="E80" s="958">
        <v>0.1</v>
      </c>
      <c r="F80" s="959">
        <v>0.1</v>
      </c>
    </row>
    <row r="81" spans="1:6" ht="16" thickBot="1" x14ac:dyDescent="0.25">
      <c r="A81" s="778" t="s">
        <v>522</v>
      </c>
      <c r="B81" s="772" t="s">
        <v>239</v>
      </c>
      <c r="C81" s="958">
        <v>9.9000000000000005E-2</v>
      </c>
      <c r="D81" s="958">
        <v>9.9000000000000005E-2</v>
      </c>
      <c r="E81" s="958">
        <v>9.8000000000000004E-2</v>
      </c>
      <c r="F81" s="959">
        <v>0.1</v>
      </c>
    </row>
    <row r="82" spans="1:6" ht="16" thickBot="1" x14ac:dyDescent="0.25">
      <c r="A82" s="778" t="s">
        <v>522</v>
      </c>
      <c r="B82" s="772" t="s">
        <v>250</v>
      </c>
      <c r="C82" s="958">
        <v>9.9000000000000005E-2</v>
      </c>
      <c r="D82" s="958">
        <v>9.9000000000000005E-2</v>
      </c>
      <c r="E82" s="958">
        <v>9.7000000000000003E-2</v>
      </c>
      <c r="F82" s="959">
        <v>0.1</v>
      </c>
    </row>
    <row r="83" spans="1:6" ht="16" thickBot="1" x14ac:dyDescent="0.25">
      <c r="A83" s="778" t="s">
        <v>522</v>
      </c>
      <c r="B83" s="772" t="s">
        <v>261</v>
      </c>
      <c r="C83" s="958">
        <v>9.8000000000000004E-2</v>
      </c>
      <c r="D83" s="958">
        <v>9.8000000000000004E-2</v>
      </c>
      <c r="E83" s="958">
        <v>9.8000000000000004E-2</v>
      </c>
      <c r="F83" s="959">
        <v>0.1</v>
      </c>
    </row>
    <row r="84" spans="1:6" ht="16" thickBot="1" x14ac:dyDescent="0.25">
      <c r="A84" s="778" t="s">
        <v>522</v>
      </c>
      <c r="B84" s="772" t="s">
        <v>273</v>
      </c>
      <c r="C84" s="958">
        <v>9.9000000000000005E-2</v>
      </c>
      <c r="D84" s="958">
        <v>9.9000000000000005E-2</v>
      </c>
      <c r="E84" s="958">
        <v>9.9000000000000005E-2</v>
      </c>
      <c r="F84" s="959">
        <v>0.1</v>
      </c>
    </row>
    <row r="85" spans="1:6" ht="16" thickBot="1" x14ac:dyDescent="0.25">
      <c r="A85" s="778" t="s">
        <v>522</v>
      </c>
      <c r="B85" s="772" t="s">
        <v>283</v>
      </c>
      <c r="C85" s="958">
        <v>9.9000000000000005E-2</v>
      </c>
      <c r="D85" s="958">
        <v>9.9000000000000005E-2</v>
      </c>
      <c r="E85" s="958">
        <v>9.9000000000000005E-2</v>
      </c>
      <c r="F85" s="959">
        <v>0.1</v>
      </c>
    </row>
    <row r="86" spans="1:6" ht="16" thickBot="1" x14ac:dyDescent="0.25">
      <c r="A86" s="778" t="s">
        <v>522</v>
      </c>
      <c r="B86" s="772" t="s">
        <v>293</v>
      </c>
      <c r="C86" s="958">
        <v>0.1</v>
      </c>
      <c r="D86" s="958">
        <v>0.1</v>
      </c>
      <c r="E86" s="958">
        <v>7.6999999999999999E-2</v>
      </c>
      <c r="F86" s="959">
        <v>0.1</v>
      </c>
    </row>
    <row r="87" spans="1:6" ht="16" thickBot="1" x14ac:dyDescent="0.25">
      <c r="A87" s="778" t="s">
        <v>522</v>
      </c>
      <c r="B87" s="772" t="s">
        <v>303</v>
      </c>
      <c r="C87" s="958">
        <v>0.1</v>
      </c>
      <c r="D87" s="958">
        <v>0.1</v>
      </c>
      <c r="E87" s="958">
        <v>9.8000000000000004E-2</v>
      </c>
      <c r="F87" s="970"/>
    </row>
    <row r="88" spans="1:6" ht="16" thickBot="1" x14ac:dyDescent="0.25">
      <c r="A88" s="778" t="s">
        <v>522</v>
      </c>
      <c r="B88" s="772" t="s">
        <v>313</v>
      </c>
      <c r="C88" s="958">
        <v>9.1999999999999998E-2</v>
      </c>
      <c r="D88" s="958">
        <v>8.5000000000000006E-2</v>
      </c>
      <c r="E88" s="958">
        <v>9.6000000000000002E-2</v>
      </c>
      <c r="F88" s="970"/>
    </row>
    <row r="89" spans="1:6" ht="16" thickBot="1" x14ac:dyDescent="0.25">
      <c r="A89" s="778" t="s">
        <v>522</v>
      </c>
      <c r="B89" s="772" t="s">
        <v>324</v>
      </c>
      <c r="C89" s="958">
        <v>0.1</v>
      </c>
      <c r="D89" s="958">
        <v>0.1</v>
      </c>
      <c r="E89" s="958">
        <v>9.7000000000000003E-2</v>
      </c>
      <c r="F89" s="970"/>
    </row>
    <row r="90" spans="1:6" ht="16" thickBot="1" x14ac:dyDescent="0.25">
      <c r="A90" s="778" t="s">
        <v>522</v>
      </c>
      <c r="B90" s="772" t="s">
        <v>335</v>
      </c>
      <c r="C90" s="958">
        <v>9.8000000000000004E-2</v>
      </c>
      <c r="D90" s="958">
        <v>9.8000000000000004E-2</v>
      </c>
      <c r="E90" s="958">
        <v>8.7999999999999995E-2</v>
      </c>
      <c r="F90" s="970"/>
    </row>
    <row r="91" spans="1:6" ht="16" thickBot="1" x14ac:dyDescent="0.25">
      <c r="A91" s="778" t="s">
        <v>522</v>
      </c>
      <c r="B91" s="772" t="s">
        <v>345</v>
      </c>
      <c r="C91" s="958">
        <v>9.9000000000000005E-2</v>
      </c>
      <c r="D91" s="958">
        <v>9.9000000000000005E-2</v>
      </c>
      <c r="E91" s="958">
        <v>9.0999999999999998E-2</v>
      </c>
      <c r="F91" s="970"/>
    </row>
    <row r="92" spans="1:6" ht="16" thickBot="1" x14ac:dyDescent="0.25">
      <c r="A92" s="778" t="s">
        <v>522</v>
      </c>
      <c r="B92" s="772" t="s">
        <v>355</v>
      </c>
      <c r="C92" s="958">
        <v>9.6000000000000002E-2</v>
      </c>
      <c r="D92" s="958">
        <v>9.6000000000000002E-2</v>
      </c>
      <c r="E92" s="958">
        <v>7.2999999999999995E-2</v>
      </c>
      <c r="F92" s="970"/>
    </row>
    <row r="93" spans="1:6" ht="16" thickBot="1" x14ac:dyDescent="0.25">
      <c r="A93" s="778" t="s">
        <v>522</v>
      </c>
      <c r="B93" s="772" t="s">
        <v>365</v>
      </c>
      <c r="C93" s="958">
        <v>9.6000000000000002E-2</v>
      </c>
      <c r="D93" s="958">
        <v>9.6000000000000002E-2</v>
      </c>
      <c r="E93" s="958">
        <v>9.9000000000000005E-2</v>
      </c>
      <c r="F93" s="970"/>
    </row>
    <row r="94" spans="1:6" ht="16" thickBot="1" x14ac:dyDescent="0.25">
      <c r="A94" s="778" t="s">
        <v>522</v>
      </c>
      <c r="B94" s="772" t="s">
        <v>375</v>
      </c>
      <c r="C94" s="958">
        <v>7.5999999999999998E-2</v>
      </c>
      <c r="D94" s="958">
        <v>7.3999999999999996E-2</v>
      </c>
      <c r="E94" s="958">
        <v>9.7000000000000003E-2</v>
      </c>
      <c r="F94" s="970"/>
    </row>
    <row r="95" spans="1:6" ht="16" thickBot="1" x14ac:dyDescent="0.25">
      <c r="A95" s="778" t="s">
        <v>522</v>
      </c>
      <c r="B95" s="772" t="s">
        <v>384</v>
      </c>
      <c r="C95" s="958">
        <v>9.9000000000000005E-2</v>
      </c>
      <c r="D95" s="958">
        <v>9.4E-2</v>
      </c>
      <c r="E95" s="958">
        <v>9.6000000000000002E-2</v>
      </c>
      <c r="F95" s="970"/>
    </row>
    <row r="96" spans="1:6" ht="16" thickBot="1" x14ac:dyDescent="0.25">
      <c r="A96" s="778" t="s">
        <v>522</v>
      </c>
      <c r="B96" s="772" t="s">
        <v>393</v>
      </c>
      <c r="C96" s="958">
        <v>9.9000000000000005E-2</v>
      </c>
      <c r="D96" s="958">
        <v>9.9000000000000005E-2</v>
      </c>
      <c r="E96" s="958">
        <v>9.9000000000000005E-2</v>
      </c>
      <c r="F96" s="970"/>
    </row>
    <row r="97" spans="1:6" ht="16" thickBot="1" x14ac:dyDescent="0.25">
      <c r="A97" s="778" t="s">
        <v>522</v>
      </c>
      <c r="B97" s="772" t="s">
        <v>401</v>
      </c>
      <c r="C97" s="958">
        <v>9.8000000000000004E-2</v>
      </c>
      <c r="D97" s="958">
        <v>9.8000000000000004E-2</v>
      </c>
      <c r="E97" s="958">
        <v>9.7000000000000003E-2</v>
      </c>
      <c r="F97" s="970"/>
    </row>
    <row r="98" spans="1:6" ht="16" thickBot="1" x14ac:dyDescent="0.25">
      <c r="A98" s="778" t="s">
        <v>522</v>
      </c>
      <c r="B98" s="772" t="s">
        <v>408</v>
      </c>
      <c r="C98" s="958">
        <v>0.1</v>
      </c>
      <c r="D98" s="958">
        <v>0.1</v>
      </c>
      <c r="E98" s="958">
        <v>9.7000000000000003E-2</v>
      </c>
      <c r="F98" s="970"/>
    </row>
    <row r="99" spans="1:6" ht="16" thickBot="1" x14ac:dyDescent="0.25">
      <c r="A99" s="778" t="s">
        <v>522</v>
      </c>
      <c r="B99" s="772" t="s">
        <v>415</v>
      </c>
      <c r="C99" s="958">
        <v>0.1</v>
      </c>
      <c r="D99" s="958">
        <v>0.1</v>
      </c>
      <c r="E99" s="971"/>
      <c r="F99" s="970"/>
    </row>
    <row r="100" spans="1:6" ht="16" thickBot="1" x14ac:dyDescent="0.25">
      <c r="A100" s="778" t="s">
        <v>522</v>
      </c>
      <c r="B100" s="772" t="s">
        <v>422</v>
      </c>
      <c r="C100" s="958">
        <v>0.09</v>
      </c>
      <c r="D100" s="958">
        <v>8.8999999999999996E-2</v>
      </c>
      <c r="E100" s="971"/>
      <c r="F100" s="970"/>
    </row>
    <row r="101" spans="1:6" ht="16" thickBot="1" x14ac:dyDescent="0.25">
      <c r="A101" s="778" t="s">
        <v>522</v>
      </c>
      <c r="B101" s="772" t="s">
        <v>429</v>
      </c>
      <c r="C101" s="958">
        <v>9.8000000000000004E-2</v>
      </c>
      <c r="D101" s="958">
        <v>9.7000000000000003E-2</v>
      </c>
      <c r="E101" s="971"/>
      <c r="F101" s="970"/>
    </row>
    <row r="102" spans="1:6" ht="16" thickBot="1" x14ac:dyDescent="0.25">
      <c r="A102" s="778" t="s">
        <v>522</v>
      </c>
      <c r="B102" s="772" t="s">
        <v>677</v>
      </c>
      <c r="C102" s="971"/>
      <c r="D102" s="971"/>
      <c r="E102" s="971"/>
      <c r="F102" s="959">
        <v>0.05</v>
      </c>
    </row>
    <row r="103" spans="1:6" ht="29" thickBot="1" x14ac:dyDescent="0.25">
      <c r="A103" s="778" t="s">
        <v>522</v>
      </c>
      <c r="B103" s="772" t="s">
        <v>678</v>
      </c>
      <c r="C103" s="971"/>
      <c r="D103" s="971"/>
      <c r="E103" s="971"/>
      <c r="F103" s="959">
        <v>0.05</v>
      </c>
    </row>
    <row r="104" spans="1:6" ht="16" thickBot="1" x14ac:dyDescent="0.25">
      <c r="A104" s="778" t="s">
        <v>522</v>
      </c>
      <c r="B104" s="772" t="s">
        <v>679</v>
      </c>
      <c r="C104" s="971"/>
      <c r="D104" s="971"/>
      <c r="E104" s="971"/>
      <c r="F104" s="959">
        <v>0.05</v>
      </c>
    </row>
    <row r="105" spans="1:6" ht="16" thickBot="1" x14ac:dyDescent="0.25">
      <c r="A105" s="778" t="s">
        <v>522</v>
      </c>
      <c r="B105" s="772" t="s">
        <v>680</v>
      </c>
      <c r="C105" s="971"/>
      <c r="D105" s="971"/>
      <c r="E105" s="971"/>
      <c r="F105" s="959">
        <v>0.05</v>
      </c>
    </row>
    <row r="106" spans="1:6" ht="16" thickBot="1" x14ac:dyDescent="0.25">
      <c r="A106" s="778" t="s">
        <v>522</v>
      </c>
      <c r="B106" s="772" t="s">
        <v>681</v>
      </c>
      <c r="C106" s="971"/>
      <c r="D106" s="971"/>
      <c r="E106" s="971"/>
      <c r="F106" s="959">
        <v>0.05</v>
      </c>
    </row>
    <row r="107" spans="1:6" ht="29" thickBot="1" x14ac:dyDescent="0.25">
      <c r="A107" s="778" t="s">
        <v>522</v>
      </c>
      <c r="B107" s="772" t="s">
        <v>682</v>
      </c>
      <c r="C107" s="971"/>
      <c r="D107" s="971"/>
      <c r="E107" s="971"/>
      <c r="F107" s="959">
        <v>0.05</v>
      </c>
    </row>
    <row r="108" spans="1:6" ht="29" thickBot="1" x14ac:dyDescent="0.25">
      <c r="A108" s="778" t="s">
        <v>522</v>
      </c>
      <c r="B108" s="772" t="s">
        <v>683</v>
      </c>
      <c r="C108" s="971"/>
      <c r="D108" s="971"/>
      <c r="E108" s="971"/>
      <c r="F108" s="959">
        <v>0.05</v>
      </c>
    </row>
    <row r="109" spans="1:6" ht="29" thickBot="1" x14ac:dyDescent="0.25">
      <c r="A109" s="788" t="s">
        <v>522</v>
      </c>
      <c r="B109" s="784" t="s">
        <v>684</v>
      </c>
      <c r="C109" s="968"/>
      <c r="D109" s="968"/>
      <c r="E109" s="968"/>
      <c r="F109" s="961">
        <v>0.05</v>
      </c>
    </row>
    <row r="110" spans="1:6" ht="16" thickBot="1" x14ac:dyDescent="0.25">
      <c r="A110" s="778" t="s">
        <v>56</v>
      </c>
      <c r="B110" s="779" t="s">
        <v>685</v>
      </c>
      <c r="C110" s="956">
        <v>0.129</v>
      </c>
      <c r="D110" s="956">
        <v>0.129</v>
      </c>
      <c r="E110" s="956">
        <v>0.126</v>
      </c>
      <c r="F110" s="957">
        <v>0.13</v>
      </c>
    </row>
    <row r="111" spans="1:6" ht="16" thickBot="1" x14ac:dyDescent="0.25">
      <c r="A111" s="778" t="s">
        <v>56</v>
      </c>
      <c r="B111" s="772" t="s">
        <v>191</v>
      </c>
      <c r="C111" s="958">
        <v>0.11</v>
      </c>
      <c r="D111" s="958">
        <v>0.11</v>
      </c>
      <c r="E111" s="958">
        <v>9.9000000000000005E-2</v>
      </c>
      <c r="F111" s="959">
        <v>0.128</v>
      </c>
    </row>
    <row r="112" spans="1:6" ht="16" thickBot="1" x14ac:dyDescent="0.25">
      <c r="A112" s="778" t="s">
        <v>56</v>
      </c>
      <c r="B112" s="772" t="s">
        <v>204</v>
      </c>
      <c r="C112" s="958">
        <v>0.125</v>
      </c>
      <c r="D112" s="958">
        <v>0.125</v>
      </c>
      <c r="E112" s="958">
        <v>0.12</v>
      </c>
      <c r="F112" s="959">
        <v>0.125</v>
      </c>
    </row>
    <row r="113" spans="1:6" ht="16" thickBot="1" x14ac:dyDescent="0.25">
      <c r="A113" s="778" t="s">
        <v>56</v>
      </c>
      <c r="B113" s="772" t="s">
        <v>217</v>
      </c>
      <c r="C113" s="958">
        <v>0.13</v>
      </c>
      <c r="D113" s="958">
        <v>0.13</v>
      </c>
      <c r="E113" s="958">
        <v>0.13</v>
      </c>
      <c r="F113" s="959">
        <v>0.13</v>
      </c>
    </row>
    <row r="114" spans="1:6" ht="16" thickBot="1" x14ac:dyDescent="0.25">
      <c r="A114" s="778" t="s">
        <v>56</v>
      </c>
      <c r="B114" s="772" t="s">
        <v>229</v>
      </c>
      <c r="C114" s="958">
        <v>0.123</v>
      </c>
      <c r="D114" s="958">
        <v>0.123</v>
      </c>
      <c r="E114" s="958">
        <v>0.12</v>
      </c>
      <c r="F114" s="959">
        <v>0.13</v>
      </c>
    </row>
    <row r="115" spans="1:6" ht="16" thickBot="1" x14ac:dyDescent="0.25">
      <c r="A115" s="778" t="s">
        <v>56</v>
      </c>
      <c r="B115" s="772" t="s">
        <v>240</v>
      </c>
      <c r="C115" s="958">
        <v>0.125</v>
      </c>
      <c r="D115" s="958">
        <v>0.125</v>
      </c>
      <c r="E115" s="958">
        <v>0.11700000000000001</v>
      </c>
      <c r="F115" s="959">
        <v>0.13</v>
      </c>
    </row>
    <row r="116" spans="1:6" ht="16" thickBot="1" x14ac:dyDescent="0.25">
      <c r="A116" s="778" t="s">
        <v>56</v>
      </c>
      <c r="B116" s="772" t="s">
        <v>251</v>
      </c>
      <c r="C116" s="958">
        <v>0.11700000000000001</v>
      </c>
      <c r="D116" s="958">
        <v>0.11700000000000001</v>
      </c>
      <c r="E116" s="958">
        <v>8.7999999999999995E-2</v>
      </c>
      <c r="F116" s="959">
        <v>0.13</v>
      </c>
    </row>
    <row r="117" spans="1:6" ht="16" thickBot="1" x14ac:dyDescent="0.25">
      <c r="A117" s="778" t="s">
        <v>56</v>
      </c>
      <c r="B117" s="772" t="s">
        <v>262</v>
      </c>
      <c r="C117" s="958">
        <v>0.13</v>
      </c>
      <c r="D117" s="958">
        <v>0.13</v>
      </c>
      <c r="E117" s="958">
        <v>0.129</v>
      </c>
      <c r="F117" s="959">
        <v>0.13</v>
      </c>
    </row>
    <row r="118" spans="1:6" ht="16" thickBot="1" x14ac:dyDescent="0.25">
      <c r="A118" s="778" t="s">
        <v>56</v>
      </c>
      <c r="B118" s="772" t="s">
        <v>274</v>
      </c>
      <c r="C118" s="958">
        <v>0.123</v>
      </c>
      <c r="D118" s="958">
        <v>0.123</v>
      </c>
      <c r="E118" s="958">
        <v>0.11600000000000001</v>
      </c>
      <c r="F118" s="959">
        <v>0.13</v>
      </c>
    </row>
    <row r="119" spans="1:6" ht="16" thickBot="1" x14ac:dyDescent="0.25">
      <c r="A119" s="778" t="s">
        <v>56</v>
      </c>
      <c r="B119" s="772" t="s">
        <v>284</v>
      </c>
      <c r="C119" s="958">
        <v>0.127</v>
      </c>
      <c r="D119" s="958">
        <v>0.127</v>
      </c>
      <c r="E119" s="958">
        <v>0.124</v>
      </c>
      <c r="F119" s="959">
        <v>0.13</v>
      </c>
    </row>
    <row r="120" spans="1:6" ht="16" thickBot="1" x14ac:dyDescent="0.25">
      <c r="A120" s="778" t="s">
        <v>56</v>
      </c>
      <c r="B120" s="772" t="s">
        <v>294</v>
      </c>
      <c r="C120" s="958">
        <v>0.125</v>
      </c>
      <c r="D120" s="958">
        <v>0.125</v>
      </c>
      <c r="E120" s="958">
        <v>0.122</v>
      </c>
      <c r="F120" s="959">
        <v>0.13</v>
      </c>
    </row>
    <row r="121" spans="1:6" ht="16" thickBot="1" x14ac:dyDescent="0.25">
      <c r="A121" s="778" t="s">
        <v>56</v>
      </c>
      <c r="B121" s="772" t="s">
        <v>304</v>
      </c>
      <c r="C121" s="958">
        <v>0.13</v>
      </c>
      <c r="D121" s="958">
        <v>0.13</v>
      </c>
      <c r="E121" s="958">
        <v>0.13</v>
      </c>
      <c r="F121" s="959">
        <v>0.13</v>
      </c>
    </row>
    <row r="122" spans="1:6" ht="16" thickBot="1" x14ac:dyDescent="0.25">
      <c r="A122" s="778" t="s">
        <v>56</v>
      </c>
      <c r="B122" s="772" t="s">
        <v>314</v>
      </c>
      <c r="C122" s="958">
        <v>0.13</v>
      </c>
      <c r="D122" s="958">
        <v>0.13</v>
      </c>
      <c r="E122" s="958">
        <v>0.125</v>
      </c>
      <c r="F122" s="959">
        <v>0.13</v>
      </c>
    </row>
    <row r="123" spans="1:6" ht="16" thickBot="1" x14ac:dyDescent="0.25">
      <c r="A123" s="778" t="s">
        <v>56</v>
      </c>
      <c r="B123" s="772" t="s">
        <v>325</v>
      </c>
      <c r="C123" s="958">
        <v>0.129</v>
      </c>
      <c r="D123" s="958">
        <v>0.129</v>
      </c>
      <c r="E123" s="958">
        <v>0.123</v>
      </c>
      <c r="F123" s="959">
        <v>0.13</v>
      </c>
    </row>
    <row r="124" spans="1:6" ht="16" thickBot="1" x14ac:dyDescent="0.25">
      <c r="A124" s="778" t="s">
        <v>56</v>
      </c>
      <c r="B124" s="772" t="s">
        <v>336</v>
      </c>
      <c r="C124" s="958">
        <v>0.10199999999999999</v>
      </c>
      <c r="D124" s="958">
        <v>0.10100000000000001</v>
      </c>
      <c r="E124" s="958">
        <v>0.08</v>
      </c>
      <c r="F124" s="970"/>
    </row>
    <row r="125" spans="1:6" ht="16" thickBot="1" x14ac:dyDescent="0.25">
      <c r="A125" s="778" t="s">
        <v>56</v>
      </c>
      <c r="B125" s="772" t="s">
        <v>346</v>
      </c>
      <c r="C125" s="958">
        <v>0.13</v>
      </c>
      <c r="D125" s="958">
        <v>0.13</v>
      </c>
      <c r="E125" s="958">
        <v>0.129</v>
      </c>
      <c r="F125" s="970"/>
    </row>
    <row r="126" spans="1:6" ht="16" thickBot="1" x14ac:dyDescent="0.25">
      <c r="A126" s="778" t="s">
        <v>56</v>
      </c>
      <c r="B126" s="772" t="s">
        <v>356</v>
      </c>
      <c r="C126" s="958">
        <v>0.13</v>
      </c>
      <c r="D126" s="958">
        <v>0.13</v>
      </c>
      <c r="E126" s="958">
        <v>0.126</v>
      </c>
      <c r="F126" s="970"/>
    </row>
    <row r="127" spans="1:6" ht="16" thickBot="1" x14ac:dyDescent="0.25">
      <c r="A127" s="778" t="s">
        <v>56</v>
      </c>
      <c r="B127" s="772" t="s">
        <v>366</v>
      </c>
      <c r="C127" s="958">
        <v>0.125</v>
      </c>
      <c r="D127" s="958">
        <v>0.125</v>
      </c>
      <c r="E127" s="958">
        <v>0.121</v>
      </c>
      <c r="F127" s="970"/>
    </row>
    <row r="128" spans="1:6" ht="16" thickBot="1" x14ac:dyDescent="0.25">
      <c r="A128" s="778" t="s">
        <v>56</v>
      </c>
      <c r="B128" s="772" t="s">
        <v>376</v>
      </c>
      <c r="C128" s="958">
        <v>0.12</v>
      </c>
      <c r="D128" s="958">
        <v>0.12</v>
      </c>
      <c r="E128" s="958">
        <v>0.105</v>
      </c>
      <c r="F128" s="970"/>
    </row>
    <row r="129" spans="1:6" ht="16" thickBot="1" x14ac:dyDescent="0.25">
      <c r="A129" s="778" t="s">
        <v>56</v>
      </c>
      <c r="B129" s="772" t="s">
        <v>385</v>
      </c>
      <c r="C129" s="958">
        <v>0.13</v>
      </c>
      <c r="D129" s="958">
        <v>0.13</v>
      </c>
      <c r="E129" s="958">
        <v>0.126</v>
      </c>
      <c r="F129" s="970"/>
    </row>
    <row r="130" spans="1:6" ht="16" thickBot="1" x14ac:dyDescent="0.25">
      <c r="A130" s="778" t="s">
        <v>56</v>
      </c>
      <c r="B130" s="772" t="s">
        <v>394</v>
      </c>
      <c r="C130" s="958">
        <v>0.125</v>
      </c>
      <c r="D130" s="958">
        <v>0.125</v>
      </c>
      <c r="E130" s="958">
        <v>0.122</v>
      </c>
      <c r="F130" s="970"/>
    </row>
    <row r="131" spans="1:6" ht="16" thickBot="1" x14ac:dyDescent="0.25">
      <c r="A131" s="778" t="s">
        <v>56</v>
      </c>
      <c r="B131" s="772" t="s">
        <v>402</v>
      </c>
      <c r="C131" s="958">
        <v>0.127</v>
      </c>
      <c r="D131" s="958">
        <v>0.126</v>
      </c>
      <c r="E131" s="958">
        <v>0.123</v>
      </c>
      <c r="F131" s="970"/>
    </row>
    <row r="132" spans="1:6" ht="16" thickBot="1" x14ac:dyDescent="0.25">
      <c r="A132" s="778" t="s">
        <v>56</v>
      </c>
      <c r="B132" s="772" t="s">
        <v>409</v>
      </c>
      <c r="C132" s="958">
        <v>9.0999999999999998E-2</v>
      </c>
      <c r="D132" s="958">
        <v>0.121</v>
      </c>
      <c r="E132" s="958">
        <v>9.9000000000000005E-2</v>
      </c>
      <c r="F132" s="970"/>
    </row>
    <row r="133" spans="1:6" ht="16" thickBot="1" x14ac:dyDescent="0.25">
      <c r="A133" s="778" t="s">
        <v>56</v>
      </c>
      <c r="B133" s="772" t="s">
        <v>416</v>
      </c>
      <c r="C133" s="958">
        <v>0.13</v>
      </c>
      <c r="D133" s="958">
        <v>0.13</v>
      </c>
      <c r="E133" s="958">
        <v>0.129</v>
      </c>
      <c r="F133" s="970"/>
    </row>
    <row r="134" spans="1:6" ht="16" thickBot="1" x14ac:dyDescent="0.25">
      <c r="A134" s="778" t="s">
        <v>56</v>
      </c>
      <c r="B134" s="772" t="s">
        <v>686</v>
      </c>
      <c r="C134" s="958">
        <v>6.8000000000000005E-2</v>
      </c>
      <c r="D134" s="958">
        <v>6.5000000000000002E-2</v>
      </c>
      <c r="E134" s="958">
        <v>6.5000000000000002E-2</v>
      </c>
      <c r="F134" s="959">
        <v>0.13</v>
      </c>
    </row>
    <row r="135" spans="1:6" ht="16" thickBot="1" x14ac:dyDescent="0.25">
      <c r="A135" s="778" t="s">
        <v>56</v>
      </c>
      <c r="B135" s="772" t="s">
        <v>430</v>
      </c>
      <c r="C135" s="958">
        <v>0.123</v>
      </c>
      <c r="D135" s="958">
        <v>0.123</v>
      </c>
      <c r="E135" s="958">
        <v>0.11</v>
      </c>
      <c r="F135" s="970"/>
    </row>
    <row r="136" spans="1:6" ht="16" thickBot="1" x14ac:dyDescent="0.25">
      <c r="A136" s="778" t="s">
        <v>56</v>
      </c>
      <c r="B136" s="772" t="s">
        <v>437</v>
      </c>
      <c r="C136" s="958">
        <v>0.13</v>
      </c>
      <c r="D136" s="958">
        <v>0.13</v>
      </c>
      <c r="E136" s="958">
        <v>0.125</v>
      </c>
      <c r="F136" s="970"/>
    </row>
    <row r="137" spans="1:6" ht="16" thickBot="1" x14ac:dyDescent="0.25">
      <c r="A137" s="778" t="s">
        <v>56</v>
      </c>
      <c r="B137" s="772" t="s">
        <v>444</v>
      </c>
      <c r="C137" s="958">
        <v>0.121</v>
      </c>
      <c r="D137" s="958">
        <v>0.122</v>
      </c>
      <c r="E137" s="958">
        <v>0.115</v>
      </c>
      <c r="F137" s="970"/>
    </row>
    <row r="138" spans="1:6" ht="16" thickBot="1" x14ac:dyDescent="0.25">
      <c r="A138" s="778" t="s">
        <v>56</v>
      </c>
      <c r="B138" s="772" t="s">
        <v>687</v>
      </c>
      <c r="C138" s="958">
        <v>0.105</v>
      </c>
      <c r="D138" s="958">
        <v>0.125</v>
      </c>
      <c r="E138" s="958">
        <v>0.112</v>
      </c>
      <c r="F138" s="970"/>
    </row>
    <row r="139" spans="1:6" ht="16" thickBot="1" x14ac:dyDescent="0.25">
      <c r="A139" s="778" t="s">
        <v>56</v>
      </c>
      <c r="B139" s="772" t="s">
        <v>688</v>
      </c>
      <c r="C139" s="958">
        <v>0.127</v>
      </c>
      <c r="D139" s="958">
        <v>0.127</v>
      </c>
      <c r="E139" s="958">
        <v>0.122</v>
      </c>
      <c r="F139" s="959">
        <v>0.13</v>
      </c>
    </row>
    <row r="140" spans="1:6" ht="16" thickBot="1" x14ac:dyDescent="0.25">
      <c r="A140" s="778" t="s">
        <v>56</v>
      </c>
      <c r="B140" s="772" t="s">
        <v>689</v>
      </c>
      <c r="C140" s="958">
        <v>0.125</v>
      </c>
      <c r="D140" s="958">
        <v>0.125</v>
      </c>
      <c r="E140" s="958">
        <v>0.11899999999999999</v>
      </c>
      <c r="F140" s="959">
        <v>0.13</v>
      </c>
    </row>
    <row r="141" spans="1:6" ht="16" thickBot="1" x14ac:dyDescent="0.25">
      <c r="A141" s="778" t="s">
        <v>56</v>
      </c>
      <c r="B141" s="772" t="s">
        <v>463</v>
      </c>
      <c r="C141" s="958">
        <v>0.125</v>
      </c>
      <c r="D141" s="958">
        <v>0.125</v>
      </c>
      <c r="E141" s="958">
        <v>0.11700000000000001</v>
      </c>
      <c r="F141" s="970"/>
    </row>
    <row r="142" spans="1:6" ht="16" thickBot="1" x14ac:dyDescent="0.25">
      <c r="A142" s="778" t="s">
        <v>56</v>
      </c>
      <c r="B142" s="772" t="s">
        <v>468</v>
      </c>
      <c r="C142" s="958">
        <v>0.125</v>
      </c>
      <c r="D142" s="958">
        <v>0.125</v>
      </c>
      <c r="E142" s="958">
        <v>0.115</v>
      </c>
      <c r="F142" s="970"/>
    </row>
    <row r="143" spans="1:6" ht="16" thickBot="1" x14ac:dyDescent="0.25">
      <c r="A143" s="778" t="s">
        <v>56</v>
      </c>
      <c r="B143" s="772" t="s">
        <v>473</v>
      </c>
      <c r="C143" s="958">
        <v>0.121</v>
      </c>
      <c r="D143" s="958">
        <v>0.121</v>
      </c>
      <c r="E143" s="958">
        <v>0.108</v>
      </c>
      <c r="F143" s="970"/>
    </row>
    <row r="144" spans="1:6" ht="16" thickBot="1" x14ac:dyDescent="0.25">
      <c r="A144" s="778" t="s">
        <v>56</v>
      </c>
      <c r="B144" s="962" t="s">
        <v>690</v>
      </c>
      <c r="C144" s="963">
        <v>0.126</v>
      </c>
      <c r="D144" s="963">
        <v>0.126</v>
      </c>
      <c r="E144" s="963">
        <v>0.121</v>
      </c>
      <c r="F144" s="970"/>
    </row>
    <row r="145" spans="1:6" ht="16" thickBot="1" x14ac:dyDescent="0.25">
      <c r="A145" s="788" t="s">
        <v>56</v>
      </c>
      <c r="B145" s="964" t="s">
        <v>691</v>
      </c>
      <c r="C145" s="972"/>
      <c r="D145" s="972"/>
      <c r="E145" s="972"/>
      <c r="F145" s="965">
        <v>0.05</v>
      </c>
    </row>
    <row r="146" spans="1:6" ht="29" thickBot="1" x14ac:dyDescent="0.25">
      <c r="A146" s="966" t="s">
        <v>56</v>
      </c>
      <c r="B146" s="782" t="s">
        <v>692</v>
      </c>
      <c r="C146" s="971"/>
      <c r="D146" s="971"/>
      <c r="E146" s="971"/>
      <c r="F146" s="967">
        <v>0.05</v>
      </c>
    </row>
    <row r="147" spans="1:6" ht="29" thickBot="1" x14ac:dyDescent="0.25">
      <c r="A147" s="778" t="s">
        <v>56</v>
      </c>
      <c r="B147" s="772" t="s">
        <v>693</v>
      </c>
      <c r="C147" s="971"/>
      <c r="D147" s="971"/>
      <c r="E147" s="971"/>
      <c r="F147" s="959">
        <v>0.05</v>
      </c>
    </row>
    <row r="148" spans="1:6" ht="29" thickBot="1" x14ac:dyDescent="0.25">
      <c r="A148" s="778" t="s">
        <v>56</v>
      </c>
      <c r="B148" s="772" t="s">
        <v>694</v>
      </c>
      <c r="C148" s="971"/>
      <c r="D148" s="971"/>
      <c r="E148" s="971"/>
      <c r="F148" s="959">
        <v>0.05</v>
      </c>
    </row>
    <row r="149" spans="1:6" ht="29" thickBot="1" x14ac:dyDescent="0.25">
      <c r="A149" s="778" t="s">
        <v>56</v>
      </c>
      <c r="B149" s="772" t="s">
        <v>695</v>
      </c>
      <c r="C149" s="971"/>
      <c r="D149" s="971"/>
      <c r="E149" s="971"/>
      <c r="F149" s="959">
        <v>0.05</v>
      </c>
    </row>
    <row r="150" spans="1:6" ht="29" thickBot="1" x14ac:dyDescent="0.25">
      <c r="A150" s="778" t="s">
        <v>56</v>
      </c>
      <c r="B150" s="772" t="s">
        <v>696</v>
      </c>
      <c r="C150" s="971"/>
      <c r="D150" s="971"/>
      <c r="E150" s="971"/>
      <c r="F150" s="959">
        <v>0.05</v>
      </c>
    </row>
    <row r="151" spans="1:6" ht="29" thickBot="1" x14ac:dyDescent="0.25">
      <c r="A151" s="778" t="s">
        <v>56</v>
      </c>
      <c r="B151" s="772" t="s">
        <v>697</v>
      </c>
      <c r="C151" s="971"/>
      <c r="D151" s="971"/>
      <c r="E151" s="971"/>
      <c r="F151" s="959">
        <v>0.05</v>
      </c>
    </row>
    <row r="152" spans="1:6" ht="29" thickBot="1" x14ac:dyDescent="0.25">
      <c r="A152" s="778" t="s">
        <v>56</v>
      </c>
      <c r="B152" s="772" t="s">
        <v>506</v>
      </c>
      <c r="C152" s="971"/>
      <c r="D152" s="971"/>
      <c r="E152" s="971"/>
      <c r="F152" s="959">
        <v>0.05</v>
      </c>
    </row>
    <row r="153" spans="1:6" ht="16" thickBot="1" x14ac:dyDescent="0.25">
      <c r="A153" s="778" t="s">
        <v>56</v>
      </c>
      <c r="B153" s="772" t="s">
        <v>698</v>
      </c>
      <c r="C153" s="971"/>
      <c r="D153" s="971"/>
      <c r="E153" s="971"/>
      <c r="F153" s="959">
        <v>0.05</v>
      </c>
    </row>
    <row r="154" spans="1:6" ht="16" thickBot="1" x14ac:dyDescent="0.25">
      <c r="A154" s="778" t="s">
        <v>56</v>
      </c>
      <c r="B154" s="772" t="s">
        <v>699</v>
      </c>
      <c r="C154" s="971"/>
      <c r="D154" s="971"/>
      <c r="E154" s="971"/>
      <c r="F154" s="959">
        <v>0.05</v>
      </c>
    </row>
    <row r="155" spans="1:6" ht="29" thickBot="1" x14ac:dyDescent="0.25">
      <c r="A155" s="778" t="s">
        <v>56</v>
      </c>
      <c r="B155" s="772" t="s">
        <v>700</v>
      </c>
      <c r="C155" s="971"/>
      <c r="D155" s="971"/>
      <c r="E155" s="971"/>
      <c r="F155" s="959">
        <v>0.05</v>
      </c>
    </row>
    <row r="156" spans="1:6" ht="29" thickBot="1" x14ac:dyDescent="0.25">
      <c r="A156" s="778" t="s">
        <v>56</v>
      </c>
      <c r="B156" s="772" t="s">
        <v>701</v>
      </c>
      <c r="C156" s="971"/>
      <c r="D156" s="971"/>
      <c r="E156" s="971"/>
      <c r="F156" s="959">
        <v>0.05</v>
      </c>
    </row>
    <row r="157" spans="1:6" ht="16" thickBot="1" x14ac:dyDescent="0.25">
      <c r="A157" s="788" t="s">
        <v>56</v>
      </c>
      <c r="B157" s="784" t="s">
        <v>702</v>
      </c>
      <c r="C157" s="968"/>
      <c r="D157" s="968"/>
      <c r="E157" s="968"/>
      <c r="F157" s="961">
        <v>0.05</v>
      </c>
    </row>
    <row r="158" spans="1:6" ht="16" thickBot="1" x14ac:dyDescent="0.25">
      <c r="A158" s="778" t="s">
        <v>525</v>
      </c>
      <c r="B158" s="779" t="s">
        <v>703</v>
      </c>
      <c r="C158" s="956">
        <v>0.13</v>
      </c>
      <c r="D158" s="956">
        <v>0.13</v>
      </c>
      <c r="E158" s="956">
        <v>0.13</v>
      </c>
      <c r="F158" s="957">
        <v>0.13</v>
      </c>
    </row>
    <row r="159" spans="1:6" ht="16" thickBot="1" x14ac:dyDescent="0.25">
      <c r="A159" s="778" t="s">
        <v>525</v>
      </c>
      <c r="B159" s="772" t="s">
        <v>192</v>
      </c>
      <c r="C159" s="958">
        <v>0.13</v>
      </c>
      <c r="D159" s="958">
        <v>0.13</v>
      </c>
      <c r="E159" s="958">
        <v>0.13</v>
      </c>
      <c r="F159" s="959">
        <v>0.13</v>
      </c>
    </row>
    <row r="160" spans="1:6" ht="16" thickBot="1" x14ac:dyDescent="0.25">
      <c r="A160" s="778" t="s">
        <v>525</v>
      </c>
      <c r="B160" s="772" t="s">
        <v>205</v>
      </c>
      <c r="C160" s="958">
        <v>0.13</v>
      </c>
      <c r="D160" s="958">
        <v>0.13</v>
      </c>
      <c r="E160" s="958">
        <v>0.129</v>
      </c>
      <c r="F160" s="959">
        <v>0.13</v>
      </c>
    </row>
    <row r="161" spans="1:6" ht="16" thickBot="1" x14ac:dyDescent="0.25">
      <c r="A161" s="778" t="s">
        <v>525</v>
      </c>
      <c r="B161" s="772" t="s">
        <v>218</v>
      </c>
      <c r="C161" s="958">
        <v>0.128</v>
      </c>
      <c r="D161" s="958">
        <v>0.128</v>
      </c>
      <c r="E161" s="958">
        <v>0.125</v>
      </c>
      <c r="F161" s="959">
        <v>0.13</v>
      </c>
    </row>
    <row r="162" spans="1:6" ht="16" thickBot="1" x14ac:dyDescent="0.25">
      <c r="A162" s="778" t="s">
        <v>525</v>
      </c>
      <c r="B162" s="772" t="s">
        <v>230</v>
      </c>
      <c r="C162" s="958">
        <v>0.122</v>
      </c>
      <c r="D162" s="958">
        <v>0.122</v>
      </c>
      <c r="E162" s="958">
        <v>0.126</v>
      </c>
      <c r="F162" s="959">
        <v>0.122</v>
      </c>
    </row>
    <row r="163" spans="1:6" ht="16" thickBot="1" x14ac:dyDescent="0.25">
      <c r="A163" s="778" t="s">
        <v>525</v>
      </c>
      <c r="B163" s="772" t="s">
        <v>241</v>
      </c>
      <c r="C163" s="958">
        <v>0.13</v>
      </c>
      <c r="D163" s="958">
        <v>0.13</v>
      </c>
      <c r="E163" s="958">
        <v>0.125</v>
      </c>
      <c r="F163" s="959">
        <v>0.13</v>
      </c>
    </row>
    <row r="164" spans="1:6" ht="16" thickBot="1" x14ac:dyDescent="0.25">
      <c r="A164" s="778" t="s">
        <v>525</v>
      </c>
      <c r="B164" s="772" t="s">
        <v>252</v>
      </c>
      <c r="C164" s="958">
        <v>0.13</v>
      </c>
      <c r="D164" s="958">
        <v>0.13</v>
      </c>
      <c r="E164" s="958">
        <v>0.13</v>
      </c>
      <c r="F164" s="959">
        <v>0.13</v>
      </c>
    </row>
    <row r="165" spans="1:6" ht="16" thickBot="1" x14ac:dyDescent="0.25">
      <c r="A165" s="778" t="s">
        <v>525</v>
      </c>
      <c r="B165" s="772" t="s">
        <v>263</v>
      </c>
      <c r="C165" s="958">
        <v>0.13</v>
      </c>
      <c r="D165" s="958">
        <v>0.13</v>
      </c>
      <c r="E165" s="958">
        <v>0.124</v>
      </c>
      <c r="F165" s="959">
        <v>0.13</v>
      </c>
    </row>
    <row r="166" spans="1:6" ht="16" thickBot="1" x14ac:dyDescent="0.25">
      <c r="A166" s="778" t="s">
        <v>525</v>
      </c>
      <c r="B166" s="772" t="s">
        <v>275</v>
      </c>
      <c r="C166" s="958">
        <v>0.13</v>
      </c>
      <c r="D166" s="958">
        <v>0.13</v>
      </c>
      <c r="E166" s="958">
        <v>0.13</v>
      </c>
      <c r="F166" s="959">
        <v>0.13</v>
      </c>
    </row>
    <row r="167" spans="1:6" ht="16" thickBot="1" x14ac:dyDescent="0.25">
      <c r="A167" s="778" t="s">
        <v>525</v>
      </c>
      <c r="B167" s="772" t="s">
        <v>285</v>
      </c>
      <c r="C167" s="958">
        <v>0.125</v>
      </c>
      <c r="D167" s="958">
        <v>0.125</v>
      </c>
      <c r="E167" s="958">
        <v>0.121</v>
      </c>
      <c r="F167" s="970"/>
    </row>
    <row r="168" spans="1:6" ht="16" thickBot="1" x14ac:dyDescent="0.25">
      <c r="A168" s="778" t="s">
        <v>525</v>
      </c>
      <c r="B168" s="772" t="s">
        <v>295</v>
      </c>
      <c r="C168" s="958">
        <v>0.13</v>
      </c>
      <c r="D168" s="958">
        <v>0.13</v>
      </c>
      <c r="E168" s="958">
        <v>0.126</v>
      </c>
      <c r="F168" s="970"/>
    </row>
    <row r="169" spans="1:6" ht="16" thickBot="1" x14ac:dyDescent="0.25">
      <c r="A169" s="778" t="s">
        <v>525</v>
      </c>
      <c r="B169" s="772" t="s">
        <v>305</v>
      </c>
      <c r="C169" s="958">
        <v>0.128</v>
      </c>
      <c r="D169" s="958">
        <v>0.129</v>
      </c>
      <c r="E169" s="958">
        <v>0.13</v>
      </c>
      <c r="F169" s="970"/>
    </row>
    <row r="170" spans="1:6" ht="16" thickBot="1" x14ac:dyDescent="0.25">
      <c r="A170" s="778" t="s">
        <v>525</v>
      </c>
      <c r="B170" s="772" t="s">
        <v>315</v>
      </c>
      <c r="C170" s="958">
        <v>0.14099999999999999</v>
      </c>
      <c r="D170" s="958">
        <v>0.13</v>
      </c>
      <c r="E170" s="958">
        <v>0.125</v>
      </c>
      <c r="F170" s="970"/>
    </row>
    <row r="171" spans="1:6" ht="16" thickBot="1" x14ac:dyDescent="0.25">
      <c r="A171" s="778" t="s">
        <v>525</v>
      </c>
      <c r="B171" s="772" t="s">
        <v>704</v>
      </c>
      <c r="C171" s="958">
        <v>0.127</v>
      </c>
      <c r="D171" s="958">
        <v>0.126</v>
      </c>
      <c r="E171" s="958">
        <v>0.126</v>
      </c>
      <c r="F171" s="959">
        <v>0.11799999999999999</v>
      </c>
    </row>
    <row r="172" spans="1:6" ht="16" thickBot="1" x14ac:dyDescent="0.25">
      <c r="A172" s="778" t="s">
        <v>525</v>
      </c>
      <c r="B172" s="772" t="s">
        <v>705</v>
      </c>
      <c r="C172" s="958">
        <v>0.13</v>
      </c>
      <c r="D172" s="958">
        <v>0.13</v>
      </c>
      <c r="E172" s="958">
        <v>0.13</v>
      </c>
      <c r="F172" s="970"/>
    </row>
    <row r="173" spans="1:6" ht="16" thickBot="1" x14ac:dyDescent="0.25">
      <c r="A173" s="778" t="s">
        <v>525</v>
      </c>
      <c r="B173" s="772" t="s">
        <v>347</v>
      </c>
      <c r="C173" s="958">
        <v>0.13</v>
      </c>
      <c r="D173" s="958">
        <v>0.13</v>
      </c>
      <c r="E173" s="958">
        <v>0.13</v>
      </c>
      <c r="F173" s="970"/>
    </row>
    <row r="174" spans="1:6" ht="16" thickBot="1" x14ac:dyDescent="0.25">
      <c r="A174" s="778" t="s">
        <v>525</v>
      </c>
      <c r="B174" s="772" t="s">
        <v>706</v>
      </c>
      <c r="C174" s="958">
        <v>0.13</v>
      </c>
      <c r="D174" s="958">
        <v>0.13</v>
      </c>
      <c r="E174" s="958">
        <v>0.13</v>
      </c>
      <c r="F174" s="959">
        <v>0.13</v>
      </c>
    </row>
    <row r="175" spans="1:6" ht="16" thickBot="1" x14ac:dyDescent="0.25">
      <c r="A175" s="778" t="s">
        <v>525</v>
      </c>
      <c r="B175" s="772" t="s">
        <v>707</v>
      </c>
      <c r="C175" s="958">
        <v>0.13</v>
      </c>
      <c r="D175" s="958">
        <v>0.13</v>
      </c>
      <c r="E175" s="958">
        <v>0.13</v>
      </c>
      <c r="F175" s="959">
        <v>0.13</v>
      </c>
    </row>
    <row r="176" spans="1:6" ht="16" thickBot="1" x14ac:dyDescent="0.25">
      <c r="A176" s="778" t="s">
        <v>525</v>
      </c>
      <c r="B176" s="772" t="s">
        <v>377</v>
      </c>
      <c r="C176" s="958">
        <v>0.13</v>
      </c>
      <c r="D176" s="958">
        <v>0.13</v>
      </c>
      <c r="E176" s="958">
        <v>0.13</v>
      </c>
      <c r="F176" s="959">
        <v>0.13</v>
      </c>
    </row>
    <row r="177" spans="1:6" ht="16" thickBot="1" x14ac:dyDescent="0.25">
      <c r="A177" s="778" t="s">
        <v>525</v>
      </c>
      <c r="B177" s="772" t="s">
        <v>708</v>
      </c>
      <c r="C177" s="958">
        <v>0.13</v>
      </c>
      <c r="D177" s="958">
        <v>0.13</v>
      </c>
      <c r="E177" s="958">
        <v>0.13</v>
      </c>
      <c r="F177" s="959">
        <v>0.13</v>
      </c>
    </row>
    <row r="178" spans="1:6" ht="16" thickBot="1" x14ac:dyDescent="0.25">
      <c r="A178" s="778" t="s">
        <v>525</v>
      </c>
      <c r="B178" s="772" t="s">
        <v>395</v>
      </c>
      <c r="C178" s="958">
        <v>0.13</v>
      </c>
      <c r="D178" s="958">
        <v>0.13</v>
      </c>
      <c r="E178" s="958">
        <v>0.13</v>
      </c>
      <c r="F178" s="959">
        <v>0.127</v>
      </c>
    </row>
    <row r="179" spans="1:6" ht="16" thickBot="1" x14ac:dyDescent="0.25">
      <c r="A179" s="778" t="s">
        <v>525</v>
      </c>
      <c r="B179" s="772" t="s">
        <v>403</v>
      </c>
      <c r="C179" s="958">
        <v>0.13</v>
      </c>
      <c r="D179" s="958">
        <v>0.13</v>
      </c>
      <c r="E179" s="958">
        <v>0.13</v>
      </c>
      <c r="F179" s="970"/>
    </row>
    <row r="180" spans="1:6" ht="16" thickBot="1" x14ac:dyDescent="0.25">
      <c r="A180" s="778" t="s">
        <v>525</v>
      </c>
      <c r="B180" s="772" t="s">
        <v>709</v>
      </c>
      <c r="C180" s="958">
        <v>0.13</v>
      </c>
      <c r="D180" s="958">
        <v>0.13</v>
      </c>
      <c r="E180" s="958">
        <v>0.125</v>
      </c>
      <c r="F180" s="959">
        <v>0.13</v>
      </c>
    </row>
    <row r="181" spans="1:6" ht="16" thickBot="1" x14ac:dyDescent="0.25">
      <c r="A181" s="778" t="s">
        <v>525</v>
      </c>
      <c r="B181" s="772" t="s">
        <v>417</v>
      </c>
      <c r="C181" s="958">
        <v>0.122</v>
      </c>
      <c r="D181" s="958">
        <v>0.123</v>
      </c>
      <c r="E181" s="958">
        <v>0.126</v>
      </c>
      <c r="F181" s="959">
        <v>0.121</v>
      </c>
    </row>
    <row r="182" spans="1:6" ht="16" thickBot="1" x14ac:dyDescent="0.25">
      <c r="A182" s="778" t="s">
        <v>525</v>
      </c>
      <c r="B182" s="772" t="s">
        <v>424</v>
      </c>
      <c r="C182" s="958">
        <v>0.125</v>
      </c>
      <c r="D182" s="958">
        <v>0.125</v>
      </c>
      <c r="E182" s="958">
        <v>0.11700000000000001</v>
      </c>
      <c r="F182" s="959">
        <v>0.13</v>
      </c>
    </row>
    <row r="183" spans="1:6" ht="16" thickBot="1" x14ac:dyDescent="0.25">
      <c r="A183" s="778" t="s">
        <v>525</v>
      </c>
      <c r="B183" s="772" t="s">
        <v>431</v>
      </c>
      <c r="C183" s="958">
        <v>0.127</v>
      </c>
      <c r="D183" s="958">
        <v>0.127</v>
      </c>
      <c r="E183" s="958">
        <v>0.128</v>
      </c>
      <c r="F183" s="970"/>
    </row>
    <row r="184" spans="1:6" ht="16" thickBot="1" x14ac:dyDescent="0.25">
      <c r="A184" s="778" t="s">
        <v>525</v>
      </c>
      <c r="B184" s="772" t="s">
        <v>438</v>
      </c>
      <c r="C184" s="958">
        <v>0.125</v>
      </c>
      <c r="D184" s="958">
        <v>0.125</v>
      </c>
      <c r="E184" s="958">
        <v>0.127</v>
      </c>
      <c r="F184" s="970"/>
    </row>
    <row r="185" spans="1:6" ht="16" thickBot="1" x14ac:dyDescent="0.25">
      <c r="A185" s="778" t="s">
        <v>525</v>
      </c>
      <c r="B185" s="772" t="s">
        <v>710</v>
      </c>
      <c r="C185" s="958">
        <v>0.127</v>
      </c>
      <c r="D185" s="958">
        <v>0.127</v>
      </c>
      <c r="E185" s="958">
        <v>0.128</v>
      </c>
      <c r="F185" s="959">
        <v>0.13</v>
      </c>
    </row>
    <row r="186" spans="1:6" ht="29" thickBot="1" x14ac:dyDescent="0.25">
      <c r="A186" s="778" t="s">
        <v>525</v>
      </c>
      <c r="B186" s="772" t="s">
        <v>711</v>
      </c>
      <c r="C186" s="971"/>
      <c r="D186" s="971"/>
      <c r="E186" s="971"/>
      <c r="F186" s="959">
        <v>0.05</v>
      </c>
    </row>
    <row r="187" spans="1:6" ht="16" thickBot="1" x14ac:dyDescent="0.25">
      <c r="A187" s="778" t="s">
        <v>525</v>
      </c>
      <c r="B187" s="772" t="s">
        <v>712</v>
      </c>
      <c r="C187" s="971"/>
      <c r="D187" s="971"/>
      <c r="E187" s="971"/>
      <c r="F187" s="959">
        <v>0.05</v>
      </c>
    </row>
    <row r="188" spans="1:6" ht="16" thickBot="1" x14ac:dyDescent="0.25">
      <c r="A188" s="778" t="s">
        <v>525</v>
      </c>
      <c r="B188" s="772" t="s">
        <v>713</v>
      </c>
      <c r="C188" s="971"/>
      <c r="D188" s="971"/>
      <c r="E188" s="971"/>
      <c r="F188" s="959">
        <v>0.05</v>
      </c>
    </row>
    <row r="189" spans="1:6" ht="29" thickBot="1" x14ac:dyDescent="0.25">
      <c r="A189" s="778" t="s">
        <v>525</v>
      </c>
      <c r="B189" s="772" t="s">
        <v>714</v>
      </c>
      <c r="C189" s="971"/>
      <c r="D189" s="971"/>
      <c r="E189" s="971"/>
      <c r="F189" s="959">
        <v>0.05</v>
      </c>
    </row>
    <row r="190" spans="1:6" ht="29" thickBot="1" x14ac:dyDescent="0.25">
      <c r="A190" s="778" t="s">
        <v>525</v>
      </c>
      <c r="B190" s="772" t="s">
        <v>715</v>
      </c>
      <c r="C190" s="971"/>
      <c r="D190" s="971"/>
      <c r="E190" s="971"/>
      <c r="F190" s="959">
        <v>0.05</v>
      </c>
    </row>
    <row r="191" spans="1:6" ht="29" thickBot="1" x14ac:dyDescent="0.25">
      <c r="A191" s="778" t="s">
        <v>525</v>
      </c>
      <c r="B191" s="772" t="s">
        <v>716</v>
      </c>
      <c r="C191" s="971"/>
      <c r="D191" s="971"/>
      <c r="E191" s="971"/>
      <c r="F191" s="959">
        <v>0.05</v>
      </c>
    </row>
    <row r="192" spans="1:6" ht="29" thickBot="1" x14ac:dyDescent="0.25">
      <c r="A192" s="778" t="s">
        <v>525</v>
      </c>
      <c r="B192" s="772" t="s">
        <v>717</v>
      </c>
      <c r="C192" s="971"/>
      <c r="D192" s="971"/>
      <c r="E192" s="971"/>
      <c r="F192" s="959">
        <v>0.05</v>
      </c>
    </row>
    <row r="193" spans="1:6" ht="29" thickBot="1" x14ac:dyDescent="0.25">
      <c r="A193" s="778" t="s">
        <v>525</v>
      </c>
      <c r="B193" s="772" t="s">
        <v>718</v>
      </c>
      <c r="C193" s="971"/>
      <c r="D193" s="971"/>
      <c r="E193" s="971"/>
      <c r="F193" s="959">
        <v>0.05</v>
      </c>
    </row>
    <row r="194" spans="1:6" ht="29" thickBot="1" x14ac:dyDescent="0.25">
      <c r="A194" s="778" t="s">
        <v>525</v>
      </c>
      <c r="B194" s="772" t="s">
        <v>719</v>
      </c>
      <c r="C194" s="971"/>
      <c r="D194" s="971"/>
      <c r="E194" s="971"/>
      <c r="F194" s="959">
        <v>0.05</v>
      </c>
    </row>
    <row r="195" spans="1:6" ht="16" thickBot="1" x14ac:dyDescent="0.25">
      <c r="A195" s="778" t="s">
        <v>525</v>
      </c>
      <c r="B195" s="772" t="s">
        <v>720</v>
      </c>
      <c r="C195" s="971"/>
      <c r="D195" s="971"/>
      <c r="E195" s="971"/>
      <c r="F195" s="959">
        <v>0.05</v>
      </c>
    </row>
    <row r="196" spans="1:6" ht="29" thickBot="1" x14ac:dyDescent="0.25">
      <c r="A196" s="778" t="s">
        <v>525</v>
      </c>
      <c r="B196" s="772" t="s">
        <v>721</v>
      </c>
      <c r="C196" s="971"/>
      <c r="D196" s="971"/>
      <c r="E196" s="971"/>
      <c r="F196" s="959">
        <v>0.05</v>
      </c>
    </row>
    <row r="197" spans="1:6" ht="29" thickBot="1" x14ac:dyDescent="0.25">
      <c r="A197" s="778" t="s">
        <v>525</v>
      </c>
      <c r="B197" s="772" t="s">
        <v>722</v>
      </c>
      <c r="C197" s="971"/>
      <c r="D197" s="971"/>
      <c r="E197" s="971"/>
      <c r="F197" s="959">
        <v>0.05</v>
      </c>
    </row>
    <row r="198" spans="1:6" ht="29" thickBot="1" x14ac:dyDescent="0.25">
      <c r="A198" s="778" t="s">
        <v>525</v>
      </c>
      <c r="B198" s="772" t="s">
        <v>723</v>
      </c>
      <c r="C198" s="971"/>
      <c r="D198" s="971"/>
      <c r="E198" s="971"/>
      <c r="F198" s="959">
        <v>0.05</v>
      </c>
    </row>
    <row r="199" spans="1:6" ht="29" thickBot="1" x14ac:dyDescent="0.25">
      <c r="A199" s="778" t="s">
        <v>525</v>
      </c>
      <c r="B199" s="772" t="s">
        <v>724</v>
      </c>
      <c r="C199" s="971"/>
      <c r="D199" s="971"/>
      <c r="E199" s="971"/>
      <c r="F199" s="959">
        <v>0.05</v>
      </c>
    </row>
    <row r="200" spans="1:6" ht="29" thickBot="1" x14ac:dyDescent="0.25">
      <c r="A200" s="778" t="s">
        <v>525</v>
      </c>
      <c r="B200" s="772" t="s">
        <v>725</v>
      </c>
      <c r="C200" s="971"/>
      <c r="D200" s="971"/>
      <c r="E200" s="971"/>
      <c r="F200" s="959">
        <v>0.05</v>
      </c>
    </row>
    <row r="201" spans="1:6" ht="29" thickBot="1" x14ac:dyDescent="0.25">
      <c r="A201" s="778" t="s">
        <v>525</v>
      </c>
      <c r="B201" s="772" t="s">
        <v>726</v>
      </c>
      <c r="C201" s="971"/>
      <c r="D201" s="971"/>
      <c r="E201" s="971"/>
      <c r="F201" s="959">
        <v>0.05</v>
      </c>
    </row>
    <row r="202" spans="1:6" ht="29" thickBot="1" x14ac:dyDescent="0.25">
      <c r="A202" s="778" t="s">
        <v>525</v>
      </c>
      <c r="B202" s="772" t="s">
        <v>727</v>
      </c>
      <c r="C202" s="971"/>
      <c r="D202" s="971"/>
      <c r="E202" s="971"/>
      <c r="F202" s="959">
        <v>0.05</v>
      </c>
    </row>
    <row r="203" spans="1:6" ht="29" thickBot="1" x14ac:dyDescent="0.25">
      <c r="A203" s="778" t="s">
        <v>525</v>
      </c>
      <c r="B203" s="772" t="s">
        <v>728</v>
      </c>
      <c r="C203" s="971"/>
      <c r="D203" s="971"/>
      <c r="E203" s="971"/>
      <c r="F203" s="959">
        <v>0.05</v>
      </c>
    </row>
    <row r="204" spans="1:6" ht="16" thickBot="1" x14ac:dyDescent="0.25">
      <c r="A204" s="778" t="s">
        <v>525</v>
      </c>
      <c r="B204" s="772" t="s">
        <v>729</v>
      </c>
      <c r="C204" s="971"/>
      <c r="D204" s="971"/>
      <c r="E204" s="971"/>
      <c r="F204" s="959">
        <v>0.05</v>
      </c>
    </row>
    <row r="205" spans="1:6" ht="16" thickBot="1" x14ac:dyDescent="0.25">
      <c r="A205" s="788" t="s">
        <v>525</v>
      </c>
      <c r="B205" s="784" t="s">
        <v>730</v>
      </c>
      <c r="C205" s="968"/>
      <c r="D205" s="968"/>
      <c r="E205" s="968"/>
      <c r="F205" s="961">
        <v>0.05</v>
      </c>
    </row>
    <row r="206" spans="1:6" ht="16" thickBot="1" x14ac:dyDescent="0.25">
      <c r="A206" s="778" t="s">
        <v>527</v>
      </c>
      <c r="B206" s="779" t="s">
        <v>731</v>
      </c>
      <c r="C206" s="956">
        <v>0.15</v>
      </c>
      <c r="D206" s="956">
        <v>0.15</v>
      </c>
      <c r="E206" s="956">
        <v>0.15</v>
      </c>
      <c r="F206" s="957">
        <v>0.15</v>
      </c>
    </row>
    <row r="207" spans="1:6" ht="16" thickBot="1" x14ac:dyDescent="0.25">
      <c r="A207" s="778" t="s">
        <v>527</v>
      </c>
      <c r="B207" s="772" t="s">
        <v>193</v>
      </c>
      <c r="C207" s="958">
        <v>0.15</v>
      </c>
      <c r="D207" s="958">
        <v>0.15</v>
      </c>
      <c r="E207" s="958">
        <v>0.15</v>
      </c>
      <c r="F207" s="959">
        <v>0.14399999999999999</v>
      </c>
    </row>
    <row r="208" spans="1:6" ht="16" thickBot="1" x14ac:dyDescent="0.25">
      <c r="A208" s="778" t="s">
        <v>527</v>
      </c>
      <c r="B208" s="772" t="s">
        <v>206</v>
      </c>
      <c r="C208" s="958">
        <v>0.15</v>
      </c>
      <c r="D208" s="958">
        <v>0.15</v>
      </c>
      <c r="E208" s="958">
        <v>0.15</v>
      </c>
      <c r="F208" s="959">
        <v>0.15</v>
      </c>
    </row>
    <row r="209" spans="1:6" ht="16" thickBot="1" x14ac:dyDescent="0.25">
      <c r="A209" s="778" t="s">
        <v>527</v>
      </c>
      <c r="B209" s="772" t="s">
        <v>219</v>
      </c>
      <c r="C209" s="958">
        <v>0.13700000000000001</v>
      </c>
      <c r="D209" s="958">
        <v>0.13700000000000001</v>
      </c>
      <c r="E209" s="958">
        <v>0.14000000000000001</v>
      </c>
      <c r="F209" s="959">
        <v>0.11700000000000001</v>
      </c>
    </row>
    <row r="210" spans="1:6" ht="16" thickBot="1" x14ac:dyDescent="0.25">
      <c r="A210" s="778" t="s">
        <v>527</v>
      </c>
      <c r="B210" s="772" t="s">
        <v>732</v>
      </c>
      <c r="C210" s="958">
        <v>0.15</v>
      </c>
      <c r="D210" s="958">
        <v>0.15</v>
      </c>
      <c r="E210" s="958">
        <v>0.15</v>
      </c>
      <c r="F210" s="959">
        <v>0.13800000000000001</v>
      </c>
    </row>
    <row r="211" spans="1:6" ht="16" thickBot="1" x14ac:dyDescent="0.25">
      <c r="A211" s="778" t="s">
        <v>527</v>
      </c>
      <c r="B211" s="772" t="s">
        <v>733</v>
      </c>
      <c r="C211" s="958">
        <v>0.13700000000000001</v>
      </c>
      <c r="D211" s="958">
        <v>0.13500000000000001</v>
      </c>
      <c r="E211" s="958">
        <v>0.13600000000000001</v>
      </c>
      <c r="F211" s="959">
        <v>0.1</v>
      </c>
    </row>
    <row r="212" spans="1:6" ht="16" thickBot="1" x14ac:dyDescent="0.25">
      <c r="A212" s="778" t="s">
        <v>527</v>
      </c>
      <c r="B212" s="772" t="s">
        <v>734</v>
      </c>
      <c r="C212" s="958">
        <v>0.15</v>
      </c>
      <c r="D212" s="958">
        <v>0.15</v>
      </c>
      <c r="E212" s="958">
        <v>0.14799999999999999</v>
      </c>
      <c r="F212" s="959">
        <v>0.13600000000000001</v>
      </c>
    </row>
    <row r="213" spans="1:6" ht="16" thickBot="1" x14ac:dyDescent="0.25">
      <c r="A213" s="778" t="s">
        <v>527</v>
      </c>
      <c r="B213" s="772" t="s">
        <v>264</v>
      </c>
      <c r="C213" s="958">
        <v>0.15</v>
      </c>
      <c r="D213" s="958">
        <v>0.15</v>
      </c>
      <c r="E213" s="958">
        <v>0.15</v>
      </c>
      <c r="F213" s="959">
        <v>0.13800000000000001</v>
      </c>
    </row>
    <row r="214" spans="1:6" ht="16" thickBot="1" x14ac:dyDescent="0.25">
      <c r="A214" s="778" t="s">
        <v>527</v>
      </c>
      <c r="B214" s="772" t="s">
        <v>276</v>
      </c>
      <c r="C214" s="958">
        <v>9.0999999999999998E-2</v>
      </c>
      <c r="D214" s="958">
        <v>0.09</v>
      </c>
      <c r="E214" s="958">
        <v>9.1999999999999998E-2</v>
      </c>
      <c r="F214" s="970"/>
    </row>
    <row r="215" spans="1:6" ht="16" thickBot="1" x14ac:dyDescent="0.25">
      <c r="A215" s="778" t="s">
        <v>527</v>
      </c>
      <c r="B215" s="772" t="s">
        <v>735</v>
      </c>
      <c r="C215" s="958">
        <v>0.15</v>
      </c>
      <c r="D215" s="958">
        <v>0.15</v>
      </c>
      <c r="E215" s="958">
        <v>0.15</v>
      </c>
      <c r="F215" s="959">
        <v>0.15</v>
      </c>
    </row>
    <row r="216" spans="1:6" ht="16" thickBot="1" x14ac:dyDescent="0.25">
      <c r="A216" s="778" t="s">
        <v>527</v>
      </c>
      <c r="B216" s="772" t="s">
        <v>296</v>
      </c>
      <c r="C216" s="958">
        <v>0.14699999999999999</v>
      </c>
      <c r="D216" s="958">
        <v>0.14699999999999999</v>
      </c>
      <c r="E216" s="958">
        <v>0.15</v>
      </c>
      <c r="F216" s="959">
        <v>0.14000000000000001</v>
      </c>
    </row>
    <row r="217" spans="1:6" ht="16" thickBot="1" x14ac:dyDescent="0.25">
      <c r="A217" s="778" t="s">
        <v>527</v>
      </c>
      <c r="B217" s="772" t="s">
        <v>306</v>
      </c>
      <c r="C217" s="958">
        <v>0.15</v>
      </c>
      <c r="D217" s="958">
        <v>0.15</v>
      </c>
      <c r="E217" s="958">
        <v>0.15</v>
      </c>
      <c r="F217" s="959">
        <v>0.15</v>
      </c>
    </row>
    <row r="218" spans="1:6" ht="16" thickBot="1" x14ac:dyDescent="0.25">
      <c r="A218" s="778" t="s">
        <v>527</v>
      </c>
      <c r="B218" s="772" t="s">
        <v>736</v>
      </c>
      <c r="C218" s="958">
        <v>0.15</v>
      </c>
      <c r="D218" s="958">
        <v>0.15</v>
      </c>
      <c r="E218" s="958">
        <v>0.15</v>
      </c>
      <c r="F218" s="959">
        <v>0.15</v>
      </c>
    </row>
    <row r="219" spans="1:6" ht="16" thickBot="1" x14ac:dyDescent="0.25">
      <c r="A219" s="778" t="s">
        <v>527</v>
      </c>
      <c r="B219" s="772" t="s">
        <v>327</v>
      </c>
      <c r="C219" s="958">
        <v>0.15</v>
      </c>
      <c r="D219" s="958">
        <v>0.15</v>
      </c>
      <c r="E219" s="958">
        <v>0.15</v>
      </c>
      <c r="F219" s="959">
        <v>0.14799999999999999</v>
      </c>
    </row>
    <row r="220" spans="1:6" ht="16" thickBot="1" x14ac:dyDescent="0.25">
      <c r="A220" s="778" t="s">
        <v>527</v>
      </c>
      <c r="B220" s="772" t="s">
        <v>737</v>
      </c>
      <c r="C220" s="958">
        <v>0.15</v>
      </c>
      <c r="D220" s="958">
        <v>0.15</v>
      </c>
      <c r="E220" s="958">
        <v>0.15</v>
      </c>
      <c r="F220" s="959">
        <v>0.15</v>
      </c>
    </row>
    <row r="221" spans="1:6" ht="16" thickBot="1" x14ac:dyDescent="0.25">
      <c r="A221" s="778" t="s">
        <v>527</v>
      </c>
      <c r="B221" s="772" t="s">
        <v>348</v>
      </c>
      <c r="C221" s="958"/>
      <c r="D221" s="971"/>
      <c r="E221" s="971"/>
      <c r="F221" s="959">
        <v>0.14799999999999999</v>
      </c>
    </row>
    <row r="222" spans="1:6" ht="16" thickBot="1" x14ac:dyDescent="0.25">
      <c r="A222" s="778" t="s">
        <v>527</v>
      </c>
      <c r="B222" s="772" t="s">
        <v>358</v>
      </c>
      <c r="C222" s="958"/>
      <c r="D222" s="971"/>
      <c r="E222" s="971"/>
      <c r="F222" s="959">
        <v>0.1</v>
      </c>
    </row>
    <row r="223" spans="1:6" ht="16" thickBot="1" x14ac:dyDescent="0.25">
      <c r="A223" s="778" t="s">
        <v>527</v>
      </c>
      <c r="B223" s="772" t="s">
        <v>368</v>
      </c>
      <c r="C223" s="958"/>
      <c r="D223" s="971"/>
      <c r="E223" s="971"/>
      <c r="F223" s="959">
        <v>0.15</v>
      </c>
    </row>
    <row r="224" spans="1:6" ht="16" thickBot="1" x14ac:dyDescent="0.25">
      <c r="A224" s="778" t="s">
        <v>527</v>
      </c>
      <c r="B224" s="772" t="s">
        <v>378</v>
      </c>
      <c r="C224" s="958"/>
      <c r="D224" s="971"/>
      <c r="E224" s="971"/>
      <c r="F224" s="959">
        <v>0.15</v>
      </c>
    </row>
    <row r="225" spans="1:6" ht="16" thickBot="1" x14ac:dyDescent="0.25">
      <c r="A225" s="778" t="s">
        <v>527</v>
      </c>
      <c r="B225" s="772" t="s">
        <v>738</v>
      </c>
      <c r="C225" s="958">
        <v>0.15</v>
      </c>
      <c r="D225" s="958">
        <v>0.15</v>
      </c>
      <c r="E225" s="958">
        <v>0.15</v>
      </c>
      <c r="F225" s="959">
        <v>0.15</v>
      </c>
    </row>
    <row r="226" spans="1:6" ht="16" thickBot="1" x14ac:dyDescent="0.25">
      <c r="A226" s="778" t="s">
        <v>527</v>
      </c>
      <c r="B226" s="772" t="s">
        <v>396</v>
      </c>
      <c r="C226" s="958">
        <v>0.15</v>
      </c>
      <c r="D226" s="958">
        <v>0.15</v>
      </c>
      <c r="E226" s="958">
        <v>0.15</v>
      </c>
      <c r="F226" s="959">
        <v>0.14799999999999999</v>
      </c>
    </row>
    <row r="227" spans="1:6" ht="16" thickBot="1" x14ac:dyDescent="0.25">
      <c r="A227" s="778" t="s">
        <v>527</v>
      </c>
      <c r="B227" s="772" t="s">
        <v>739</v>
      </c>
      <c r="C227" s="958">
        <v>0.15</v>
      </c>
      <c r="D227" s="958">
        <v>0.15</v>
      </c>
      <c r="E227" s="958">
        <v>0.15</v>
      </c>
      <c r="F227" s="959">
        <v>0.15</v>
      </c>
    </row>
    <row r="228" spans="1:6" ht="16" thickBot="1" x14ac:dyDescent="0.25">
      <c r="A228" s="778" t="s">
        <v>527</v>
      </c>
      <c r="B228" s="772" t="s">
        <v>411</v>
      </c>
      <c r="C228" s="958">
        <v>0.15</v>
      </c>
      <c r="D228" s="958">
        <v>0.15</v>
      </c>
      <c r="E228" s="958">
        <v>0.15</v>
      </c>
      <c r="F228" s="959">
        <v>0.15</v>
      </c>
    </row>
    <row r="229" spans="1:6" ht="16" thickBot="1" x14ac:dyDescent="0.25">
      <c r="A229" s="778" t="s">
        <v>527</v>
      </c>
      <c r="B229" s="772" t="s">
        <v>418</v>
      </c>
      <c r="C229" s="958">
        <v>0.15</v>
      </c>
      <c r="D229" s="958">
        <v>0.15</v>
      </c>
      <c r="E229" s="958">
        <v>0.15</v>
      </c>
      <c r="F229" s="970"/>
    </row>
    <row r="230" spans="1:6" ht="16" thickBot="1" x14ac:dyDescent="0.25">
      <c r="A230" s="778" t="s">
        <v>527</v>
      </c>
      <c r="B230" s="772" t="s">
        <v>425</v>
      </c>
      <c r="C230" s="958">
        <v>0.14499999999999999</v>
      </c>
      <c r="D230" s="958">
        <v>0.14499999999999999</v>
      </c>
      <c r="E230" s="958">
        <v>0.14399999999999999</v>
      </c>
      <c r="F230" s="970"/>
    </row>
    <row r="231" spans="1:6" ht="16" thickBot="1" x14ac:dyDescent="0.25">
      <c r="A231" s="778" t="s">
        <v>527</v>
      </c>
      <c r="B231" s="772" t="s">
        <v>740</v>
      </c>
      <c r="C231" s="958">
        <v>0.128</v>
      </c>
      <c r="D231" s="958">
        <v>0.125</v>
      </c>
      <c r="E231" s="958">
        <v>0.13200000000000001</v>
      </c>
      <c r="F231" s="970"/>
    </row>
    <row r="232" spans="1:6" ht="16" thickBot="1" x14ac:dyDescent="0.25">
      <c r="A232" s="778" t="s">
        <v>527</v>
      </c>
      <c r="B232" s="772" t="s">
        <v>741</v>
      </c>
      <c r="C232" s="958">
        <v>0.14499999999999999</v>
      </c>
      <c r="D232" s="958">
        <v>0.14399999999999999</v>
      </c>
      <c r="E232" s="958">
        <v>0.14599999999999999</v>
      </c>
      <c r="F232" s="959">
        <v>0.13800000000000001</v>
      </c>
    </row>
    <row r="233" spans="1:6" ht="16" thickBot="1" x14ac:dyDescent="0.25">
      <c r="A233" s="778" t="s">
        <v>527</v>
      </c>
      <c r="B233" s="772" t="s">
        <v>742</v>
      </c>
      <c r="C233" s="958">
        <v>0.14499999999999999</v>
      </c>
      <c r="D233" s="958">
        <v>0.14299999999999999</v>
      </c>
      <c r="E233" s="958">
        <v>0.14199999999999999</v>
      </c>
      <c r="F233" s="970"/>
    </row>
    <row r="234" spans="1:6" ht="16" thickBot="1" x14ac:dyDescent="0.25">
      <c r="A234" s="778" t="s">
        <v>527</v>
      </c>
      <c r="B234" s="772" t="s">
        <v>743</v>
      </c>
      <c r="C234" s="958">
        <v>0.14000000000000001</v>
      </c>
      <c r="D234" s="958">
        <v>0.14000000000000001</v>
      </c>
      <c r="E234" s="958">
        <v>0.14399999999999999</v>
      </c>
      <c r="F234" s="970"/>
    </row>
    <row r="235" spans="1:6" ht="16" thickBot="1" x14ac:dyDescent="0.25">
      <c r="A235" s="778" t="s">
        <v>527</v>
      </c>
      <c r="B235" s="772" t="s">
        <v>744</v>
      </c>
      <c r="C235" s="958">
        <v>0.14099999999999999</v>
      </c>
      <c r="D235" s="958">
        <v>0.14199999999999999</v>
      </c>
      <c r="E235" s="958">
        <v>0.14499999999999999</v>
      </c>
      <c r="F235" s="959">
        <v>0.15</v>
      </c>
    </row>
    <row r="236" spans="1:6" ht="16" thickBot="1" x14ac:dyDescent="0.25">
      <c r="A236" s="778" t="s">
        <v>527</v>
      </c>
      <c r="B236" s="772" t="s">
        <v>460</v>
      </c>
      <c r="C236" s="971"/>
      <c r="D236" s="971"/>
      <c r="E236" s="971"/>
      <c r="F236" s="959">
        <v>0.14299999999999999</v>
      </c>
    </row>
    <row r="237" spans="1:6" ht="29" thickBot="1" x14ac:dyDescent="0.25">
      <c r="A237" s="778" t="s">
        <v>527</v>
      </c>
      <c r="B237" s="772" t="s">
        <v>745</v>
      </c>
      <c r="C237" s="971"/>
      <c r="D237" s="971"/>
      <c r="E237" s="971"/>
      <c r="F237" s="959">
        <v>0.05</v>
      </c>
    </row>
    <row r="238" spans="1:6" ht="29" thickBot="1" x14ac:dyDescent="0.25">
      <c r="A238" s="778" t="s">
        <v>527</v>
      </c>
      <c r="B238" s="772" t="s">
        <v>746</v>
      </c>
      <c r="C238" s="971"/>
      <c r="D238" s="971"/>
      <c r="E238" s="971"/>
      <c r="F238" s="959">
        <v>0.05</v>
      </c>
    </row>
    <row r="239" spans="1:6" ht="29" thickBot="1" x14ac:dyDescent="0.25">
      <c r="A239" s="778" t="s">
        <v>527</v>
      </c>
      <c r="B239" s="772" t="s">
        <v>747</v>
      </c>
      <c r="C239" s="971"/>
      <c r="D239" s="971"/>
      <c r="E239" s="971"/>
      <c r="F239" s="959">
        <v>0.05</v>
      </c>
    </row>
    <row r="240" spans="1:6" ht="29" thickBot="1" x14ac:dyDescent="0.25">
      <c r="A240" s="778" t="s">
        <v>527</v>
      </c>
      <c r="B240" s="772" t="s">
        <v>748</v>
      </c>
      <c r="C240" s="971"/>
      <c r="D240" s="971"/>
      <c r="E240" s="971"/>
      <c r="F240" s="959">
        <v>0.05</v>
      </c>
    </row>
    <row r="241" spans="1:6" ht="29" thickBot="1" x14ac:dyDescent="0.25">
      <c r="A241" s="778" t="s">
        <v>527</v>
      </c>
      <c r="B241" s="772" t="s">
        <v>749</v>
      </c>
      <c r="C241" s="971"/>
      <c r="D241" s="971"/>
      <c r="E241" s="971"/>
      <c r="F241" s="959">
        <v>0.05</v>
      </c>
    </row>
    <row r="242" spans="1:6" ht="29" thickBot="1" x14ac:dyDescent="0.25">
      <c r="A242" s="778" t="s">
        <v>527</v>
      </c>
      <c r="B242" s="772" t="s">
        <v>750</v>
      </c>
      <c r="C242" s="971"/>
      <c r="D242" s="971"/>
      <c r="E242" s="971"/>
      <c r="F242" s="959">
        <v>0.05</v>
      </c>
    </row>
    <row r="243" spans="1:6" ht="29" thickBot="1" x14ac:dyDescent="0.25">
      <c r="A243" s="778" t="s">
        <v>527</v>
      </c>
      <c r="B243" s="772" t="s">
        <v>751</v>
      </c>
      <c r="C243" s="971"/>
      <c r="D243" s="971"/>
      <c r="E243" s="971"/>
      <c r="F243" s="959">
        <v>0.05</v>
      </c>
    </row>
    <row r="244" spans="1:6" ht="29" thickBot="1" x14ac:dyDescent="0.25">
      <c r="A244" s="788" t="s">
        <v>527</v>
      </c>
      <c r="B244" s="784" t="s">
        <v>752</v>
      </c>
      <c r="C244" s="968"/>
      <c r="D244" s="968"/>
      <c r="E244" s="968"/>
      <c r="F244" s="961">
        <v>0.05</v>
      </c>
    </row>
    <row r="245" spans="1:6" ht="16" thickBot="1" x14ac:dyDescent="0.25">
      <c r="A245" s="778" t="s">
        <v>529</v>
      </c>
      <c r="B245" s="779" t="s">
        <v>753</v>
      </c>
      <c r="C245" s="956">
        <v>0.15</v>
      </c>
      <c r="D245" s="956">
        <v>0.15</v>
      </c>
      <c r="E245" s="956">
        <v>0.15</v>
      </c>
      <c r="F245" s="957">
        <v>0.14299999999999999</v>
      </c>
    </row>
    <row r="246" spans="1:6" ht="16" thickBot="1" x14ac:dyDescent="0.25">
      <c r="A246" s="778" t="s">
        <v>529</v>
      </c>
      <c r="B246" s="772" t="s">
        <v>194</v>
      </c>
      <c r="C246" s="958">
        <v>0.15</v>
      </c>
      <c r="D246" s="958">
        <v>0.15</v>
      </c>
      <c r="E246" s="958">
        <v>0.15</v>
      </c>
      <c r="F246" s="959">
        <v>0.114</v>
      </c>
    </row>
    <row r="247" spans="1:6" ht="16" thickBot="1" x14ac:dyDescent="0.25">
      <c r="A247" s="778" t="s">
        <v>529</v>
      </c>
      <c r="B247" s="772" t="s">
        <v>754</v>
      </c>
      <c r="C247" s="958">
        <v>0.15</v>
      </c>
      <c r="D247" s="958">
        <v>0.15</v>
      </c>
      <c r="E247" s="958">
        <v>0.15</v>
      </c>
      <c r="F247" s="959">
        <v>0.15</v>
      </c>
    </row>
    <row r="248" spans="1:6" ht="16" thickBot="1" x14ac:dyDescent="0.25">
      <c r="A248" s="778" t="s">
        <v>529</v>
      </c>
      <c r="B248" s="772" t="s">
        <v>755</v>
      </c>
      <c r="C248" s="958">
        <v>0.15</v>
      </c>
      <c r="D248" s="958">
        <v>0.15</v>
      </c>
      <c r="E248" s="958">
        <v>0.15</v>
      </c>
      <c r="F248" s="959">
        <v>0.14000000000000001</v>
      </c>
    </row>
    <row r="249" spans="1:6" ht="16" thickBot="1" x14ac:dyDescent="0.25">
      <c r="A249" s="778" t="s">
        <v>529</v>
      </c>
      <c r="B249" s="772" t="s">
        <v>756</v>
      </c>
      <c r="C249" s="958">
        <v>0.15</v>
      </c>
      <c r="D249" s="958">
        <v>0.14899999999999999</v>
      </c>
      <c r="E249" s="958">
        <v>0.15</v>
      </c>
      <c r="F249" s="959">
        <v>0.1</v>
      </c>
    </row>
    <row r="250" spans="1:6" ht="16" thickBot="1" x14ac:dyDescent="0.25">
      <c r="A250" s="778" t="s">
        <v>529</v>
      </c>
      <c r="B250" s="772" t="s">
        <v>757</v>
      </c>
      <c r="C250" s="958">
        <v>0.15</v>
      </c>
      <c r="D250" s="958">
        <v>0.15</v>
      </c>
      <c r="E250" s="958">
        <v>0.15</v>
      </c>
      <c r="F250" s="959">
        <v>0.14399999999999999</v>
      </c>
    </row>
    <row r="251" spans="1:6" ht="16" thickBot="1" x14ac:dyDescent="0.25">
      <c r="A251" s="778" t="s">
        <v>529</v>
      </c>
      <c r="B251" s="772" t="s">
        <v>254</v>
      </c>
      <c r="C251" s="958">
        <v>0.15</v>
      </c>
      <c r="D251" s="958">
        <v>0.15</v>
      </c>
      <c r="E251" s="958">
        <v>0.15</v>
      </c>
      <c r="F251" s="959">
        <v>0.14299999999999999</v>
      </c>
    </row>
    <row r="252" spans="1:6" ht="16" thickBot="1" x14ac:dyDescent="0.25">
      <c r="A252" s="778" t="s">
        <v>529</v>
      </c>
      <c r="B252" s="772" t="s">
        <v>265</v>
      </c>
      <c r="C252" s="958">
        <v>0.15</v>
      </c>
      <c r="D252" s="958">
        <v>0.15</v>
      </c>
      <c r="E252" s="958">
        <v>0.15</v>
      </c>
      <c r="F252" s="959">
        <v>0.1</v>
      </c>
    </row>
    <row r="253" spans="1:6" ht="16" thickBot="1" x14ac:dyDescent="0.25">
      <c r="A253" s="778" t="s">
        <v>529</v>
      </c>
      <c r="B253" s="772" t="s">
        <v>277</v>
      </c>
      <c r="C253" s="958">
        <v>0.15</v>
      </c>
      <c r="D253" s="958">
        <v>0.15</v>
      </c>
      <c r="E253" s="958">
        <v>0.15</v>
      </c>
      <c r="F253" s="959">
        <v>0.1</v>
      </c>
    </row>
    <row r="254" spans="1:6" ht="16" thickBot="1" x14ac:dyDescent="0.25">
      <c r="A254" s="778" t="s">
        <v>529</v>
      </c>
      <c r="B254" s="772" t="s">
        <v>287</v>
      </c>
      <c r="C254" s="971"/>
      <c r="D254" s="971"/>
      <c r="E254" s="971"/>
      <c r="F254" s="959">
        <v>0.15</v>
      </c>
    </row>
    <row r="255" spans="1:6" ht="16" thickBot="1" x14ac:dyDescent="0.25">
      <c r="A255" s="778" t="s">
        <v>529</v>
      </c>
      <c r="B255" s="772" t="s">
        <v>297</v>
      </c>
      <c r="C255" s="971"/>
      <c r="D255" s="971"/>
      <c r="E255" s="971"/>
      <c r="F255" s="959">
        <v>0.14299999999999999</v>
      </c>
    </row>
    <row r="256" spans="1:6" ht="16" thickBot="1" x14ac:dyDescent="0.25">
      <c r="A256" s="778" t="s">
        <v>529</v>
      </c>
      <c r="B256" s="772" t="s">
        <v>758</v>
      </c>
      <c r="C256" s="958">
        <v>0.14599999999999999</v>
      </c>
      <c r="D256" s="958">
        <v>0.14699999999999999</v>
      </c>
      <c r="E256" s="958">
        <v>0.15</v>
      </c>
      <c r="F256" s="959">
        <v>0.13200000000000001</v>
      </c>
    </row>
    <row r="257" spans="1:6" ht="16" thickBot="1" x14ac:dyDescent="0.25">
      <c r="A257" s="778" t="s">
        <v>529</v>
      </c>
      <c r="B257" s="772" t="s">
        <v>317</v>
      </c>
      <c r="C257" s="958">
        <v>0.15</v>
      </c>
      <c r="D257" s="958">
        <v>0.15</v>
      </c>
      <c r="E257" s="958">
        <v>0.15</v>
      </c>
      <c r="F257" s="959">
        <v>0.13900000000000001</v>
      </c>
    </row>
    <row r="258" spans="1:6" ht="16" thickBot="1" x14ac:dyDescent="0.25">
      <c r="A258" s="778" t="s">
        <v>529</v>
      </c>
      <c r="B258" s="772" t="s">
        <v>328</v>
      </c>
      <c r="C258" s="958">
        <v>0.15</v>
      </c>
      <c r="D258" s="958">
        <v>0.15</v>
      </c>
      <c r="E258" s="958">
        <v>0.15</v>
      </c>
      <c r="F258" s="959">
        <v>0.13</v>
      </c>
    </row>
    <row r="259" spans="1:6" ht="16" thickBot="1" x14ac:dyDescent="0.25">
      <c r="A259" s="778" t="s">
        <v>529</v>
      </c>
      <c r="B259" s="772" t="s">
        <v>759</v>
      </c>
      <c r="C259" s="958">
        <v>0.14799999999999999</v>
      </c>
      <c r="D259" s="958">
        <v>0.14899999999999999</v>
      </c>
      <c r="E259" s="958">
        <v>0.15</v>
      </c>
      <c r="F259" s="959">
        <v>0.13700000000000001</v>
      </c>
    </row>
    <row r="260" spans="1:6" ht="16" thickBot="1" x14ac:dyDescent="0.25">
      <c r="A260" s="778" t="s">
        <v>529</v>
      </c>
      <c r="B260" s="772" t="s">
        <v>349</v>
      </c>
      <c r="C260" s="958">
        <v>0.15</v>
      </c>
      <c r="D260" s="958">
        <v>0.15</v>
      </c>
      <c r="E260" s="958">
        <v>0.15</v>
      </c>
      <c r="F260" s="959">
        <v>0.14199999999999999</v>
      </c>
    </row>
    <row r="261" spans="1:6" ht="16" thickBot="1" x14ac:dyDescent="0.25">
      <c r="A261" s="778" t="s">
        <v>529</v>
      </c>
      <c r="B261" s="772" t="s">
        <v>359</v>
      </c>
      <c r="C261" s="958">
        <v>0.15</v>
      </c>
      <c r="D261" s="958">
        <v>0.15</v>
      </c>
      <c r="E261" s="958">
        <v>0.14899999999999999</v>
      </c>
      <c r="F261" s="959">
        <v>0.14799999999999999</v>
      </c>
    </row>
    <row r="262" spans="1:6" ht="16" thickBot="1" x14ac:dyDescent="0.25">
      <c r="A262" s="778" t="s">
        <v>529</v>
      </c>
      <c r="B262" s="772" t="s">
        <v>369</v>
      </c>
      <c r="C262" s="958">
        <v>0.15</v>
      </c>
      <c r="D262" s="958">
        <v>0.15</v>
      </c>
      <c r="E262" s="958">
        <v>0.15</v>
      </c>
      <c r="F262" s="970"/>
    </row>
    <row r="263" spans="1:6" ht="16" thickBot="1" x14ac:dyDescent="0.25">
      <c r="A263" s="778" t="s">
        <v>529</v>
      </c>
      <c r="B263" s="772" t="s">
        <v>760</v>
      </c>
      <c r="C263" s="958">
        <v>0.14899999999999999</v>
      </c>
      <c r="D263" s="958">
        <v>0.14899999999999999</v>
      </c>
      <c r="E263" s="958">
        <v>0.15</v>
      </c>
      <c r="F263" s="959">
        <v>0.13</v>
      </c>
    </row>
    <row r="264" spans="1:6" ht="16" thickBot="1" x14ac:dyDescent="0.25">
      <c r="A264" s="778" t="s">
        <v>529</v>
      </c>
      <c r="B264" s="772" t="s">
        <v>388</v>
      </c>
      <c r="C264" s="958">
        <v>0.14799999999999999</v>
      </c>
      <c r="D264" s="958">
        <v>0.14699999999999999</v>
      </c>
      <c r="E264" s="958">
        <v>0.15</v>
      </c>
      <c r="F264" s="959">
        <v>7.8E-2</v>
      </c>
    </row>
    <row r="265" spans="1:6" ht="16" thickBot="1" x14ac:dyDescent="0.25">
      <c r="A265" s="778" t="s">
        <v>529</v>
      </c>
      <c r="B265" s="772" t="s">
        <v>397</v>
      </c>
      <c r="C265" s="958">
        <v>0.15</v>
      </c>
      <c r="D265" s="958">
        <v>0.15</v>
      </c>
      <c r="E265" s="958">
        <v>0.15</v>
      </c>
      <c r="F265" s="959">
        <v>7.3999999999999996E-2</v>
      </c>
    </row>
    <row r="266" spans="1:6" ht="16" thickBot="1" x14ac:dyDescent="0.25">
      <c r="A266" s="778" t="s">
        <v>529</v>
      </c>
      <c r="B266" s="772" t="s">
        <v>405</v>
      </c>
      <c r="C266" s="958">
        <v>0.14699999999999999</v>
      </c>
      <c r="D266" s="958">
        <v>0.14699999999999999</v>
      </c>
      <c r="E266" s="958">
        <v>0.15</v>
      </c>
      <c r="F266" s="959">
        <v>0.14299999999999999</v>
      </c>
    </row>
    <row r="267" spans="1:6" ht="16" thickBot="1" x14ac:dyDescent="0.25">
      <c r="A267" s="778" t="s">
        <v>529</v>
      </c>
      <c r="B267" s="772" t="s">
        <v>412</v>
      </c>
      <c r="C267" s="958">
        <v>0.14199999999999999</v>
      </c>
      <c r="D267" s="958">
        <v>0.14299999999999999</v>
      </c>
      <c r="E267" s="958">
        <v>0.15</v>
      </c>
      <c r="F267" s="970"/>
    </row>
    <row r="268" spans="1:6" ht="16" thickBot="1" x14ac:dyDescent="0.25">
      <c r="A268" s="778" t="s">
        <v>529</v>
      </c>
      <c r="B268" s="772" t="s">
        <v>761</v>
      </c>
      <c r="C268" s="958">
        <v>0.15</v>
      </c>
      <c r="D268" s="958">
        <v>0.15</v>
      </c>
      <c r="E268" s="958">
        <v>0.15</v>
      </c>
      <c r="F268" s="959">
        <v>0.13</v>
      </c>
    </row>
    <row r="269" spans="1:6" ht="16" thickBot="1" x14ac:dyDescent="0.25">
      <c r="A269" s="778" t="s">
        <v>529</v>
      </c>
      <c r="B269" s="772" t="s">
        <v>426</v>
      </c>
      <c r="C269" s="958">
        <v>0.15</v>
      </c>
      <c r="D269" s="958">
        <v>0.15</v>
      </c>
      <c r="E269" s="958">
        <v>0.15</v>
      </c>
      <c r="F269" s="959">
        <v>0.14299999999999999</v>
      </c>
    </row>
    <row r="270" spans="1:6" ht="16" thickBot="1" x14ac:dyDescent="0.25">
      <c r="A270" s="778" t="s">
        <v>529</v>
      </c>
      <c r="B270" s="772" t="s">
        <v>433</v>
      </c>
      <c r="C270" s="958">
        <v>0.14499999999999999</v>
      </c>
      <c r="D270" s="958">
        <v>0.14499999999999999</v>
      </c>
      <c r="E270" s="958">
        <v>0.15</v>
      </c>
      <c r="F270" s="959">
        <v>0.14699999999999999</v>
      </c>
    </row>
    <row r="271" spans="1:6" ht="16" thickBot="1" x14ac:dyDescent="0.25">
      <c r="A271" s="778" t="s">
        <v>529</v>
      </c>
      <c r="B271" s="772" t="s">
        <v>440</v>
      </c>
      <c r="C271" s="958">
        <v>0.15</v>
      </c>
      <c r="D271" s="958">
        <v>0.15</v>
      </c>
      <c r="E271" s="958">
        <v>0.15</v>
      </c>
      <c r="F271" s="959">
        <v>0.13800000000000001</v>
      </c>
    </row>
    <row r="272" spans="1:6" ht="16" thickBot="1" x14ac:dyDescent="0.25">
      <c r="A272" s="778" t="s">
        <v>529</v>
      </c>
      <c r="B272" s="772" t="s">
        <v>447</v>
      </c>
      <c r="C272" s="971"/>
      <c r="D272" s="971"/>
      <c r="E272" s="971"/>
      <c r="F272" s="959">
        <v>0.14000000000000001</v>
      </c>
    </row>
    <row r="273" spans="1:6" ht="16" thickBot="1" x14ac:dyDescent="0.25">
      <c r="A273" s="778" t="s">
        <v>529</v>
      </c>
      <c r="B273" s="772" t="s">
        <v>762</v>
      </c>
      <c r="C273" s="958">
        <v>0.14199999999999999</v>
      </c>
      <c r="D273" s="958">
        <v>0.14299999999999999</v>
      </c>
      <c r="E273" s="958">
        <v>0.15</v>
      </c>
      <c r="F273" s="959">
        <v>0.1</v>
      </c>
    </row>
    <row r="274" spans="1:6" ht="16" thickBot="1" x14ac:dyDescent="0.25">
      <c r="A274" s="778" t="s">
        <v>529</v>
      </c>
      <c r="B274" s="772" t="s">
        <v>763</v>
      </c>
      <c r="C274" s="958">
        <v>0.14799999999999999</v>
      </c>
      <c r="D274" s="958">
        <v>0.14799999999999999</v>
      </c>
      <c r="E274" s="958">
        <v>0.15</v>
      </c>
      <c r="F274" s="959">
        <v>6.7000000000000004E-2</v>
      </c>
    </row>
    <row r="275" spans="1:6" ht="16" thickBot="1" x14ac:dyDescent="0.25">
      <c r="A275" s="778" t="s">
        <v>529</v>
      </c>
      <c r="B275" s="772" t="s">
        <v>764</v>
      </c>
      <c r="C275" s="958">
        <v>0.15</v>
      </c>
      <c r="D275" s="958">
        <v>0.15</v>
      </c>
      <c r="E275" s="958">
        <v>0.15</v>
      </c>
      <c r="F275" s="959">
        <v>0.15</v>
      </c>
    </row>
    <row r="276" spans="1:6" ht="16" thickBot="1" x14ac:dyDescent="0.25">
      <c r="A276" s="778" t="s">
        <v>529</v>
      </c>
      <c r="B276" s="772" t="s">
        <v>765</v>
      </c>
      <c r="C276" s="958">
        <v>0.14499999999999999</v>
      </c>
      <c r="D276" s="958">
        <v>0.14299999999999999</v>
      </c>
      <c r="E276" s="958">
        <v>0.15</v>
      </c>
      <c r="F276" s="959">
        <v>5.8999999999999997E-2</v>
      </c>
    </row>
    <row r="277" spans="1:6" ht="16" thickBot="1" x14ac:dyDescent="0.25">
      <c r="A277" s="778" t="s">
        <v>529</v>
      </c>
      <c r="B277" s="772" t="s">
        <v>766</v>
      </c>
      <c r="C277" s="958">
        <v>0.15</v>
      </c>
      <c r="D277" s="958">
        <v>0.15</v>
      </c>
      <c r="E277" s="958">
        <v>0.15</v>
      </c>
      <c r="F277" s="959">
        <v>0.121</v>
      </c>
    </row>
    <row r="278" spans="1:6" ht="16" thickBot="1" x14ac:dyDescent="0.25">
      <c r="A278" s="778" t="s">
        <v>529</v>
      </c>
      <c r="B278" s="772" t="s">
        <v>767</v>
      </c>
      <c r="C278" s="958">
        <v>0.15</v>
      </c>
      <c r="D278" s="958">
        <v>0.15</v>
      </c>
      <c r="E278" s="958">
        <v>0.15</v>
      </c>
      <c r="F278" s="959">
        <v>0.13800000000000001</v>
      </c>
    </row>
    <row r="279" spans="1:6" ht="29" thickBot="1" x14ac:dyDescent="0.25">
      <c r="A279" s="778" t="s">
        <v>529</v>
      </c>
      <c r="B279" s="772" t="s">
        <v>768</v>
      </c>
      <c r="C279" s="971"/>
      <c r="D279" s="971"/>
      <c r="E279" s="971"/>
      <c r="F279" s="959">
        <v>0.05</v>
      </c>
    </row>
    <row r="280" spans="1:6" ht="29" thickBot="1" x14ac:dyDescent="0.25">
      <c r="A280" s="778" t="s">
        <v>529</v>
      </c>
      <c r="B280" s="772" t="s">
        <v>769</v>
      </c>
      <c r="C280" s="971"/>
      <c r="D280" s="971"/>
      <c r="E280" s="971"/>
      <c r="F280" s="959">
        <v>0.05</v>
      </c>
    </row>
    <row r="281" spans="1:6" ht="29" thickBot="1" x14ac:dyDescent="0.25">
      <c r="A281" s="778" t="s">
        <v>529</v>
      </c>
      <c r="B281" s="772" t="s">
        <v>770</v>
      </c>
      <c r="C281" s="971"/>
      <c r="D281" s="971"/>
      <c r="E281" s="971"/>
      <c r="F281" s="959">
        <v>0.05</v>
      </c>
    </row>
    <row r="282" spans="1:6" ht="29" thickBot="1" x14ac:dyDescent="0.25">
      <c r="A282" s="778" t="s">
        <v>529</v>
      </c>
      <c r="B282" s="772" t="s">
        <v>771</v>
      </c>
      <c r="C282" s="971"/>
      <c r="D282" s="971"/>
      <c r="E282" s="971"/>
      <c r="F282" s="959">
        <v>0.05</v>
      </c>
    </row>
    <row r="283" spans="1:6" ht="29" thickBot="1" x14ac:dyDescent="0.25">
      <c r="A283" s="778" t="s">
        <v>529</v>
      </c>
      <c r="B283" s="772" t="s">
        <v>772</v>
      </c>
      <c r="C283" s="971"/>
      <c r="D283" s="971"/>
      <c r="E283" s="971"/>
      <c r="F283" s="959">
        <v>0.05</v>
      </c>
    </row>
    <row r="284" spans="1:6" ht="29" thickBot="1" x14ac:dyDescent="0.25">
      <c r="A284" s="778" t="s">
        <v>529</v>
      </c>
      <c r="B284" s="772" t="s">
        <v>773</v>
      </c>
      <c r="C284" s="971"/>
      <c r="D284" s="971"/>
      <c r="E284" s="971"/>
      <c r="F284" s="959">
        <v>0.05</v>
      </c>
    </row>
    <row r="285" spans="1:6" ht="29" thickBot="1" x14ac:dyDescent="0.25">
      <c r="A285" s="778" t="s">
        <v>529</v>
      </c>
      <c r="B285" s="772" t="s">
        <v>774</v>
      </c>
      <c r="C285" s="971"/>
      <c r="D285" s="971"/>
      <c r="E285" s="971"/>
      <c r="F285" s="959">
        <v>0.05</v>
      </c>
    </row>
    <row r="286" spans="1:6" ht="29" thickBot="1" x14ac:dyDescent="0.25">
      <c r="A286" s="778" t="s">
        <v>529</v>
      </c>
      <c r="B286" s="772" t="s">
        <v>775</v>
      </c>
      <c r="C286" s="971"/>
      <c r="D286" s="971"/>
      <c r="E286" s="971"/>
      <c r="F286" s="959">
        <v>0.05</v>
      </c>
    </row>
    <row r="287" spans="1:6" ht="29" thickBot="1" x14ac:dyDescent="0.25">
      <c r="A287" s="778" t="s">
        <v>529</v>
      </c>
      <c r="B287" s="772" t="s">
        <v>776</v>
      </c>
      <c r="C287" s="971"/>
      <c r="D287" s="971"/>
      <c r="E287" s="971"/>
      <c r="F287" s="959">
        <v>0.05</v>
      </c>
    </row>
    <row r="288" spans="1:6" ht="29" thickBot="1" x14ac:dyDescent="0.25">
      <c r="A288" s="778" t="s">
        <v>529</v>
      </c>
      <c r="B288" s="772" t="s">
        <v>777</v>
      </c>
      <c r="C288" s="971"/>
      <c r="D288" s="971"/>
      <c r="E288" s="971"/>
      <c r="F288" s="959">
        <v>0.05</v>
      </c>
    </row>
    <row r="289" spans="1:6" ht="29" thickBot="1" x14ac:dyDescent="0.25">
      <c r="A289" s="788" t="s">
        <v>529</v>
      </c>
      <c r="B289" s="784" t="s">
        <v>778</v>
      </c>
      <c r="C289" s="968"/>
      <c r="D289" s="968"/>
      <c r="E289" s="968"/>
      <c r="F289" s="961">
        <v>0.05</v>
      </c>
    </row>
    <row r="290" spans="1:6" ht="16" thickBot="1" x14ac:dyDescent="0.25">
      <c r="A290" s="778" t="s">
        <v>533</v>
      </c>
      <c r="B290" s="779" t="s">
        <v>779</v>
      </c>
      <c r="C290" s="956">
        <v>0.15</v>
      </c>
      <c r="D290" s="956">
        <v>0.15</v>
      </c>
      <c r="E290" s="956">
        <v>0.15</v>
      </c>
      <c r="F290" s="973"/>
    </row>
    <row r="291" spans="1:6" ht="16" thickBot="1" x14ac:dyDescent="0.25">
      <c r="A291" s="778" t="s">
        <v>533</v>
      </c>
      <c r="B291" s="772" t="s">
        <v>195</v>
      </c>
      <c r="C291" s="958">
        <v>0.15</v>
      </c>
      <c r="D291" s="958">
        <v>0.15</v>
      </c>
      <c r="E291" s="958">
        <v>0.15</v>
      </c>
      <c r="F291" s="970"/>
    </row>
    <row r="292" spans="1:6" ht="16" thickBot="1" x14ac:dyDescent="0.25">
      <c r="A292" s="778" t="s">
        <v>533</v>
      </c>
      <c r="B292" s="772" t="s">
        <v>780</v>
      </c>
      <c r="C292" s="958">
        <v>0.15</v>
      </c>
      <c r="D292" s="958">
        <v>0.15</v>
      </c>
      <c r="E292" s="958">
        <v>0.15</v>
      </c>
      <c r="F292" s="959">
        <v>0.14699999999999999</v>
      </c>
    </row>
    <row r="293" spans="1:6" ht="16" thickBot="1" x14ac:dyDescent="0.25">
      <c r="A293" s="778" t="s">
        <v>533</v>
      </c>
      <c r="B293" s="772" t="s">
        <v>781</v>
      </c>
      <c r="C293" s="971"/>
      <c r="D293" s="971"/>
      <c r="E293" s="971"/>
      <c r="F293" s="959">
        <v>0.1</v>
      </c>
    </row>
    <row r="294" spans="1:6" ht="16" thickBot="1" x14ac:dyDescent="0.25">
      <c r="A294" s="778" t="s">
        <v>533</v>
      </c>
      <c r="B294" s="772" t="s">
        <v>782</v>
      </c>
      <c r="C294" s="958">
        <v>0.15</v>
      </c>
      <c r="D294" s="958">
        <v>0.15</v>
      </c>
      <c r="E294" s="958">
        <v>0.15</v>
      </c>
      <c r="F294" s="959">
        <v>0.15</v>
      </c>
    </row>
    <row r="295" spans="1:6" ht="16" thickBot="1" x14ac:dyDescent="0.25">
      <c r="A295" s="778" t="s">
        <v>533</v>
      </c>
      <c r="B295" s="772" t="s">
        <v>233</v>
      </c>
      <c r="C295" s="958">
        <v>0.15</v>
      </c>
      <c r="D295" s="958">
        <v>0.15</v>
      </c>
      <c r="E295" s="958">
        <v>0.15</v>
      </c>
      <c r="F295" s="959">
        <v>0.15</v>
      </c>
    </row>
    <row r="296" spans="1:6" ht="16" thickBot="1" x14ac:dyDescent="0.25">
      <c r="A296" s="778" t="s">
        <v>533</v>
      </c>
      <c r="B296" s="772" t="s">
        <v>783</v>
      </c>
      <c r="C296" s="958">
        <v>0.15</v>
      </c>
      <c r="D296" s="958">
        <v>0.15</v>
      </c>
      <c r="E296" s="958">
        <v>0.15</v>
      </c>
      <c r="F296" s="959">
        <v>0.15</v>
      </c>
    </row>
    <row r="297" spans="1:6" ht="16" thickBot="1" x14ac:dyDescent="0.25">
      <c r="A297" s="778" t="s">
        <v>533</v>
      </c>
      <c r="B297" s="772" t="s">
        <v>784</v>
      </c>
      <c r="C297" s="958">
        <v>0.14799999999999999</v>
      </c>
      <c r="D297" s="958">
        <v>0.14899999999999999</v>
      </c>
      <c r="E297" s="958">
        <v>0.15</v>
      </c>
      <c r="F297" s="959">
        <v>0.13700000000000001</v>
      </c>
    </row>
    <row r="298" spans="1:6" ht="16" thickBot="1" x14ac:dyDescent="0.25">
      <c r="A298" s="778" t="s">
        <v>533</v>
      </c>
      <c r="B298" s="772" t="s">
        <v>266</v>
      </c>
      <c r="C298" s="958">
        <v>0.13400000000000001</v>
      </c>
      <c r="D298" s="958">
        <v>0.13400000000000001</v>
      </c>
      <c r="E298" s="958">
        <v>0.14499999999999999</v>
      </c>
      <c r="F298" s="959">
        <v>0.14799999999999999</v>
      </c>
    </row>
    <row r="299" spans="1:6" ht="16" thickBot="1" x14ac:dyDescent="0.25">
      <c r="A299" s="778" t="s">
        <v>533</v>
      </c>
      <c r="B299" s="772" t="s">
        <v>278</v>
      </c>
      <c r="C299" s="958">
        <v>0.15</v>
      </c>
      <c r="D299" s="958">
        <v>0.15</v>
      </c>
      <c r="E299" s="958">
        <v>0.15</v>
      </c>
      <c r="F299" s="970"/>
    </row>
    <row r="300" spans="1:6" ht="16" thickBot="1" x14ac:dyDescent="0.25">
      <c r="A300" s="778" t="s">
        <v>533</v>
      </c>
      <c r="B300" s="772" t="s">
        <v>785</v>
      </c>
      <c r="C300" s="958">
        <v>0.15</v>
      </c>
      <c r="D300" s="958">
        <v>0.15</v>
      </c>
      <c r="E300" s="958">
        <v>0.15</v>
      </c>
      <c r="F300" s="959">
        <v>0.15</v>
      </c>
    </row>
    <row r="301" spans="1:6" ht="16" thickBot="1" x14ac:dyDescent="0.25">
      <c r="A301" s="778" t="s">
        <v>533</v>
      </c>
      <c r="B301" s="772" t="s">
        <v>298</v>
      </c>
      <c r="C301" s="958">
        <v>0.15</v>
      </c>
      <c r="D301" s="958">
        <v>0.15</v>
      </c>
      <c r="E301" s="958">
        <v>0.15</v>
      </c>
      <c r="F301" s="970"/>
    </row>
    <row r="302" spans="1:6" ht="16" thickBot="1" x14ac:dyDescent="0.25">
      <c r="A302" s="778" t="s">
        <v>533</v>
      </c>
      <c r="B302" s="772" t="s">
        <v>786</v>
      </c>
      <c r="C302" s="958">
        <v>0.15</v>
      </c>
      <c r="D302" s="958">
        <v>0.15</v>
      </c>
      <c r="E302" s="958">
        <v>0.15</v>
      </c>
      <c r="F302" s="959">
        <v>0.15</v>
      </c>
    </row>
    <row r="303" spans="1:6" ht="16" thickBot="1" x14ac:dyDescent="0.25">
      <c r="A303" s="778" t="s">
        <v>533</v>
      </c>
      <c r="B303" s="772" t="s">
        <v>318</v>
      </c>
      <c r="C303" s="958">
        <v>0.15</v>
      </c>
      <c r="D303" s="958">
        <v>0.15</v>
      </c>
      <c r="E303" s="958">
        <v>0.15</v>
      </c>
      <c r="F303" s="959">
        <v>0.15</v>
      </c>
    </row>
    <row r="304" spans="1:6" ht="16" thickBot="1" x14ac:dyDescent="0.25">
      <c r="A304" s="778" t="s">
        <v>533</v>
      </c>
      <c r="B304" s="772" t="s">
        <v>329</v>
      </c>
      <c r="C304" s="958">
        <v>0.15</v>
      </c>
      <c r="D304" s="958">
        <v>0.15</v>
      </c>
      <c r="E304" s="958">
        <v>0.15</v>
      </c>
      <c r="F304" s="970"/>
    </row>
    <row r="305" spans="1:6" ht="16" thickBot="1" x14ac:dyDescent="0.25">
      <c r="A305" s="778" t="s">
        <v>533</v>
      </c>
      <c r="B305" s="772" t="s">
        <v>787</v>
      </c>
      <c r="C305" s="958">
        <v>0.15</v>
      </c>
      <c r="D305" s="958">
        <v>0.15</v>
      </c>
      <c r="E305" s="958">
        <v>0.15</v>
      </c>
      <c r="F305" s="959">
        <v>0.14000000000000001</v>
      </c>
    </row>
    <row r="306" spans="1:6" ht="16" thickBot="1" x14ac:dyDescent="0.25">
      <c r="A306" s="778" t="s">
        <v>533</v>
      </c>
      <c r="B306" s="772" t="s">
        <v>350</v>
      </c>
      <c r="C306" s="958">
        <v>0.15</v>
      </c>
      <c r="D306" s="958">
        <v>0.15</v>
      </c>
      <c r="E306" s="958">
        <v>0.15</v>
      </c>
      <c r="F306" s="970"/>
    </row>
    <row r="307" spans="1:6" ht="16" thickBot="1" x14ac:dyDescent="0.25">
      <c r="A307" s="778" t="s">
        <v>533</v>
      </c>
      <c r="B307" s="772" t="s">
        <v>788</v>
      </c>
      <c r="C307" s="958">
        <v>0.15</v>
      </c>
      <c r="D307" s="958">
        <v>0.15</v>
      </c>
      <c r="E307" s="958">
        <v>0.15</v>
      </c>
      <c r="F307" s="959">
        <v>0.14299999999999999</v>
      </c>
    </row>
    <row r="308" spans="1:6" ht="16" thickBot="1" x14ac:dyDescent="0.25">
      <c r="A308" s="778" t="s">
        <v>533</v>
      </c>
      <c r="B308" s="772" t="s">
        <v>370</v>
      </c>
      <c r="C308" s="958">
        <v>0.15</v>
      </c>
      <c r="D308" s="958">
        <v>0.15</v>
      </c>
      <c r="E308" s="958">
        <v>0.15</v>
      </c>
      <c r="F308" s="959">
        <v>0.15</v>
      </c>
    </row>
    <row r="309" spans="1:6" ht="16" thickBot="1" x14ac:dyDescent="0.25">
      <c r="A309" s="778" t="s">
        <v>533</v>
      </c>
      <c r="B309" s="772" t="s">
        <v>380</v>
      </c>
      <c r="C309" s="958">
        <v>0.15</v>
      </c>
      <c r="D309" s="958">
        <v>0.15</v>
      </c>
      <c r="E309" s="958">
        <v>0.15</v>
      </c>
      <c r="F309" s="970"/>
    </row>
    <row r="310" spans="1:6" ht="16" thickBot="1" x14ac:dyDescent="0.25">
      <c r="A310" s="778" t="s">
        <v>533</v>
      </c>
      <c r="B310" s="772" t="s">
        <v>789</v>
      </c>
      <c r="C310" s="958">
        <v>0.15</v>
      </c>
      <c r="D310" s="958">
        <v>0.15</v>
      </c>
      <c r="E310" s="958">
        <v>0.15</v>
      </c>
      <c r="F310" s="959">
        <v>0.13700000000000001</v>
      </c>
    </row>
    <row r="311" spans="1:6" ht="16" thickBot="1" x14ac:dyDescent="0.25">
      <c r="A311" s="778" t="s">
        <v>533</v>
      </c>
      <c r="B311" s="772" t="s">
        <v>790</v>
      </c>
      <c r="C311" s="958">
        <v>0.15</v>
      </c>
      <c r="D311" s="958">
        <v>0.15</v>
      </c>
      <c r="E311" s="958">
        <v>0.15</v>
      </c>
      <c r="F311" s="959">
        <v>0.15</v>
      </c>
    </row>
    <row r="312" spans="1:6" ht="16" thickBot="1" x14ac:dyDescent="0.25">
      <c r="A312" s="778" t="s">
        <v>533</v>
      </c>
      <c r="B312" s="772" t="s">
        <v>406</v>
      </c>
      <c r="C312" s="958">
        <v>0.15</v>
      </c>
      <c r="D312" s="958">
        <v>0.15</v>
      </c>
      <c r="E312" s="958">
        <v>0.15</v>
      </c>
      <c r="F312" s="959">
        <v>0.1</v>
      </c>
    </row>
    <row r="313" spans="1:6" ht="16" thickBot="1" x14ac:dyDescent="0.25">
      <c r="A313" s="778" t="s">
        <v>533</v>
      </c>
      <c r="B313" s="772" t="s">
        <v>791</v>
      </c>
      <c r="C313" s="958">
        <v>0.15</v>
      </c>
      <c r="D313" s="958">
        <v>0.15</v>
      </c>
      <c r="E313" s="958">
        <v>0.15</v>
      </c>
      <c r="F313" s="959">
        <v>0.15</v>
      </c>
    </row>
    <row r="314" spans="1:6" ht="29" thickBot="1" x14ac:dyDescent="0.25">
      <c r="A314" s="778" t="s">
        <v>533</v>
      </c>
      <c r="B314" s="772" t="s">
        <v>792</v>
      </c>
      <c r="C314" s="971"/>
      <c r="D314" s="971"/>
      <c r="E314" s="971"/>
      <c r="F314" s="959">
        <v>0.05</v>
      </c>
    </row>
    <row r="315" spans="1:6" ht="29" thickBot="1" x14ac:dyDescent="0.25">
      <c r="A315" s="778" t="s">
        <v>533</v>
      </c>
      <c r="B315" s="772" t="s">
        <v>793</v>
      </c>
      <c r="C315" s="971"/>
      <c r="D315" s="971"/>
      <c r="E315" s="971"/>
      <c r="F315" s="959">
        <v>0.05</v>
      </c>
    </row>
    <row r="316" spans="1:6" ht="29" thickBot="1" x14ac:dyDescent="0.25">
      <c r="A316" s="788" t="s">
        <v>533</v>
      </c>
      <c r="B316" s="784" t="s">
        <v>794</v>
      </c>
      <c r="C316" s="968"/>
      <c r="D316" s="968"/>
      <c r="E316" s="968"/>
      <c r="F316" s="961">
        <v>0.05</v>
      </c>
    </row>
    <row r="317" spans="1:6" ht="16" thickBot="1" x14ac:dyDescent="0.25">
      <c r="A317" s="778" t="s">
        <v>795</v>
      </c>
      <c r="B317" s="779" t="s">
        <v>796</v>
      </c>
      <c r="C317" s="956">
        <v>0.15</v>
      </c>
      <c r="D317" s="956">
        <v>0.15</v>
      </c>
      <c r="E317" s="956">
        <v>0.15</v>
      </c>
      <c r="F317" s="957">
        <v>0.15</v>
      </c>
    </row>
    <row r="318" spans="1:6" ht="16" thickBot="1" x14ac:dyDescent="0.25">
      <c r="A318" s="778" t="s">
        <v>795</v>
      </c>
      <c r="B318" s="772" t="s">
        <v>797</v>
      </c>
      <c r="C318" s="958">
        <v>0.107</v>
      </c>
      <c r="D318" s="958">
        <v>0.11</v>
      </c>
      <c r="E318" s="958">
        <v>0.112</v>
      </c>
      <c r="F318" s="970"/>
    </row>
    <row r="319" spans="1:6" ht="16" thickBot="1" x14ac:dyDescent="0.25">
      <c r="A319" s="778" t="s">
        <v>795</v>
      </c>
      <c r="B319" s="772" t="s">
        <v>798</v>
      </c>
      <c r="C319" s="958">
        <v>0.15</v>
      </c>
      <c r="D319" s="958">
        <v>0.15</v>
      </c>
      <c r="E319" s="958">
        <v>0.15</v>
      </c>
      <c r="F319" s="959">
        <v>0.15</v>
      </c>
    </row>
    <row r="320" spans="1:6" ht="16" thickBot="1" x14ac:dyDescent="0.25">
      <c r="A320" s="778" t="s">
        <v>795</v>
      </c>
      <c r="B320" s="772" t="s">
        <v>222</v>
      </c>
      <c r="C320" s="958">
        <v>0.15</v>
      </c>
      <c r="D320" s="958">
        <v>0.15</v>
      </c>
      <c r="E320" s="958">
        <v>0.15</v>
      </c>
      <c r="F320" s="970"/>
    </row>
    <row r="321" spans="1:6" ht="16" thickBot="1" x14ac:dyDescent="0.25">
      <c r="A321" s="778" t="s">
        <v>795</v>
      </c>
      <c r="B321" s="772" t="s">
        <v>799</v>
      </c>
      <c r="C321" s="958">
        <v>0.15</v>
      </c>
      <c r="D321" s="958">
        <v>0.15</v>
      </c>
      <c r="E321" s="958">
        <v>0.15</v>
      </c>
      <c r="F321" s="970"/>
    </row>
    <row r="322" spans="1:6" ht="16" thickBot="1" x14ac:dyDescent="0.25">
      <c r="A322" s="778" t="s">
        <v>795</v>
      </c>
      <c r="B322" s="772" t="s">
        <v>800</v>
      </c>
      <c r="C322" s="958">
        <v>0.15</v>
      </c>
      <c r="D322" s="958">
        <v>0.15</v>
      </c>
      <c r="E322" s="958">
        <v>0.15</v>
      </c>
      <c r="F322" s="959">
        <v>0.15</v>
      </c>
    </row>
    <row r="323" spans="1:6" ht="16" thickBot="1" x14ac:dyDescent="0.25">
      <c r="A323" s="778" t="s">
        <v>795</v>
      </c>
      <c r="B323" s="772" t="s">
        <v>801</v>
      </c>
      <c r="C323" s="958">
        <v>0.15</v>
      </c>
      <c r="D323" s="958">
        <v>0.15</v>
      </c>
      <c r="E323" s="958">
        <v>0.15</v>
      </c>
      <c r="F323" s="970"/>
    </row>
    <row r="324" spans="1:6" ht="16" thickBot="1" x14ac:dyDescent="0.25">
      <c r="A324" s="778" t="s">
        <v>795</v>
      </c>
      <c r="B324" s="772" t="s">
        <v>802</v>
      </c>
      <c r="C324" s="958">
        <v>0.15</v>
      </c>
      <c r="D324" s="958">
        <v>0.15</v>
      </c>
      <c r="E324" s="958">
        <v>0.15</v>
      </c>
      <c r="F324" s="970"/>
    </row>
    <row r="325" spans="1:6" ht="16" thickBot="1" x14ac:dyDescent="0.25">
      <c r="A325" s="778" t="s">
        <v>795</v>
      </c>
      <c r="B325" s="772" t="s">
        <v>803</v>
      </c>
      <c r="C325" s="958">
        <v>0.15</v>
      </c>
      <c r="D325" s="958">
        <v>0.15</v>
      </c>
      <c r="E325" s="958">
        <v>0.15</v>
      </c>
      <c r="F325" s="959">
        <v>0.14699999999999999</v>
      </c>
    </row>
    <row r="326" spans="1:6" ht="16" thickBot="1" x14ac:dyDescent="0.25">
      <c r="A326" s="778" t="s">
        <v>795</v>
      </c>
      <c r="B326" s="772" t="s">
        <v>289</v>
      </c>
      <c r="C326" s="958">
        <v>0.15</v>
      </c>
      <c r="D326" s="958">
        <v>0.15</v>
      </c>
      <c r="E326" s="958">
        <v>0.15</v>
      </c>
      <c r="F326" s="970"/>
    </row>
    <row r="327" spans="1:6" ht="16" thickBot="1" x14ac:dyDescent="0.25">
      <c r="A327" s="778" t="s">
        <v>795</v>
      </c>
      <c r="B327" s="772" t="s">
        <v>804</v>
      </c>
      <c r="C327" s="958">
        <v>0.15</v>
      </c>
      <c r="D327" s="958">
        <v>0.15</v>
      </c>
      <c r="E327" s="958">
        <v>0.15</v>
      </c>
      <c r="F327" s="959">
        <v>0.15</v>
      </c>
    </row>
    <row r="328" spans="1:6" ht="16" thickBot="1" x14ac:dyDescent="0.25">
      <c r="A328" s="778" t="s">
        <v>795</v>
      </c>
      <c r="B328" s="772" t="s">
        <v>309</v>
      </c>
      <c r="C328" s="958">
        <v>0.15</v>
      </c>
      <c r="D328" s="958">
        <v>0.15</v>
      </c>
      <c r="E328" s="958">
        <v>0.15</v>
      </c>
      <c r="F328" s="959">
        <v>0.14099999999999999</v>
      </c>
    </row>
    <row r="329" spans="1:6" ht="16" thickBot="1" x14ac:dyDescent="0.25">
      <c r="A329" s="778" t="s">
        <v>795</v>
      </c>
      <c r="B329" s="772" t="s">
        <v>319</v>
      </c>
      <c r="C329" s="958">
        <v>0.15</v>
      </c>
      <c r="D329" s="958">
        <v>0.15</v>
      </c>
      <c r="E329" s="958">
        <v>0.15</v>
      </c>
      <c r="F329" s="959">
        <v>0.15</v>
      </c>
    </row>
    <row r="330" spans="1:6" ht="16" thickBot="1" x14ac:dyDescent="0.25">
      <c r="A330" s="778" t="s">
        <v>795</v>
      </c>
      <c r="B330" s="772" t="s">
        <v>330</v>
      </c>
      <c r="C330" s="958">
        <v>0.15</v>
      </c>
      <c r="D330" s="958">
        <v>0.15</v>
      </c>
      <c r="E330" s="958">
        <v>0.15</v>
      </c>
      <c r="F330" s="970"/>
    </row>
    <row r="331" spans="1:6" ht="16" thickBot="1" x14ac:dyDescent="0.25">
      <c r="A331" s="778" t="s">
        <v>795</v>
      </c>
      <c r="B331" s="772" t="s">
        <v>805</v>
      </c>
      <c r="C331" s="958">
        <v>0.15</v>
      </c>
      <c r="D331" s="958">
        <v>0.15</v>
      </c>
      <c r="E331" s="958">
        <v>0.15</v>
      </c>
      <c r="F331" s="959">
        <v>0.15</v>
      </c>
    </row>
    <row r="332" spans="1:6" ht="16" thickBot="1" x14ac:dyDescent="0.25">
      <c r="A332" s="778" t="s">
        <v>795</v>
      </c>
      <c r="B332" s="772" t="s">
        <v>351</v>
      </c>
      <c r="C332" s="958">
        <v>0.15</v>
      </c>
      <c r="D332" s="958">
        <v>0.15</v>
      </c>
      <c r="E332" s="958">
        <v>0.15</v>
      </c>
      <c r="F332" s="959">
        <v>0.15</v>
      </c>
    </row>
    <row r="333" spans="1:6" ht="16" thickBot="1" x14ac:dyDescent="0.25">
      <c r="A333" s="778" t="s">
        <v>795</v>
      </c>
      <c r="B333" s="772" t="s">
        <v>806</v>
      </c>
      <c r="C333" s="958">
        <v>0.15</v>
      </c>
      <c r="D333" s="958">
        <v>0.15</v>
      </c>
      <c r="E333" s="958">
        <v>0.15</v>
      </c>
      <c r="F333" s="959">
        <v>0.14099999999999999</v>
      </c>
    </row>
    <row r="334" spans="1:6" ht="16" thickBot="1" x14ac:dyDescent="0.25">
      <c r="A334" s="778" t="s">
        <v>795</v>
      </c>
      <c r="B334" s="772" t="s">
        <v>371</v>
      </c>
      <c r="C334" s="958">
        <v>0.15</v>
      </c>
      <c r="D334" s="958">
        <v>0.15</v>
      </c>
      <c r="E334" s="958">
        <v>0.15</v>
      </c>
      <c r="F334" s="959">
        <v>0.15</v>
      </c>
    </row>
    <row r="335" spans="1:6" ht="16" thickBot="1" x14ac:dyDescent="0.25">
      <c r="A335" s="778" t="s">
        <v>795</v>
      </c>
      <c r="B335" s="772" t="s">
        <v>381</v>
      </c>
      <c r="C335" s="958">
        <v>0.15</v>
      </c>
      <c r="D335" s="958">
        <v>0.15</v>
      </c>
      <c r="E335" s="958">
        <v>0.15</v>
      </c>
      <c r="F335" s="970"/>
    </row>
    <row r="336" spans="1:6" ht="16" thickBot="1" x14ac:dyDescent="0.25">
      <c r="A336" s="778" t="s">
        <v>795</v>
      </c>
      <c r="B336" s="772" t="s">
        <v>807</v>
      </c>
      <c r="C336" s="958">
        <v>0.15</v>
      </c>
      <c r="D336" s="958">
        <v>0.15</v>
      </c>
      <c r="E336" s="958">
        <v>0.15</v>
      </c>
      <c r="F336" s="959">
        <v>0.11799999999999999</v>
      </c>
    </row>
    <row r="337" spans="1:6" ht="16" thickBot="1" x14ac:dyDescent="0.25">
      <c r="A337" s="788" t="s">
        <v>795</v>
      </c>
      <c r="B337" s="784" t="s">
        <v>399</v>
      </c>
      <c r="C337" s="968"/>
      <c r="D337" s="968"/>
      <c r="E337" s="968"/>
      <c r="F337" s="961">
        <v>0.14299999999999999</v>
      </c>
    </row>
    <row r="338" spans="1:6" ht="16" thickBot="1" x14ac:dyDescent="0.25">
      <c r="A338" s="778" t="s">
        <v>808</v>
      </c>
      <c r="B338" s="779" t="s">
        <v>809</v>
      </c>
      <c r="C338" s="956">
        <v>0.15</v>
      </c>
      <c r="D338" s="956">
        <v>0.15</v>
      </c>
      <c r="E338" s="956">
        <v>0.15</v>
      </c>
      <c r="F338" s="973"/>
    </row>
    <row r="339" spans="1:6" ht="16" thickBot="1" x14ac:dyDescent="0.25">
      <c r="A339" s="778" t="s">
        <v>808</v>
      </c>
      <c r="B339" s="772" t="s">
        <v>810</v>
      </c>
      <c r="C339" s="958">
        <v>0.15</v>
      </c>
      <c r="D339" s="958">
        <v>0.15</v>
      </c>
      <c r="E339" s="958">
        <v>0.15</v>
      </c>
      <c r="F339" s="970"/>
    </row>
    <row r="340" spans="1:6" ht="16" thickBot="1" x14ac:dyDescent="0.25">
      <c r="A340" s="778" t="s">
        <v>808</v>
      </c>
      <c r="B340" s="772" t="s">
        <v>811</v>
      </c>
      <c r="C340" s="958">
        <v>0.15</v>
      </c>
      <c r="D340" s="958">
        <v>0.15</v>
      </c>
      <c r="E340" s="958">
        <v>0.15</v>
      </c>
      <c r="F340" s="970"/>
    </row>
    <row r="341" spans="1:6" ht="16" thickBot="1" x14ac:dyDescent="0.25">
      <c r="A341" s="778" t="s">
        <v>808</v>
      </c>
      <c r="B341" s="772" t="s">
        <v>812</v>
      </c>
      <c r="C341" s="958">
        <v>0.15</v>
      </c>
      <c r="D341" s="958">
        <v>0.15</v>
      </c>
      <c r="E341" s="958">
        <v>0.15</v>
      </c>
      <c r="F341" s="959">
        <v>0.15</v>
      </c>
    </row>
    <row r="342" spans="1:6" ht="16" thickBot="1" x14ac:dyDescent="0.25">
      <c r="A342" s="778" t="s">
        <v>808</v>
      </c>
      <c r="B342" s="772" t="s">
        <v>813</v>
      </c>
      <c r="C342" s="958">
        <v>0.15</v>
      </c>
      <c r="D342" s="958">
        <v>0.15</v>
      </c>
      <c r="E342" s="958">
        <v>0.15</v>
      </c>
      <c r="F342" s="959">
        <v>0.15</v>
      </c>
    </row>
    <row r="343" spans="1:6" ht="16" thickBot="1" x14ac:dyDescent="0.25">
      <c r="A343" s="778" t="s">
        <v>808</v>
      </c>
      <c r="B343" s="772" t="s">
        <v>814</v>
      </c>
      <c r="C343" s="958">
        <v>0.15</v>
      </c>
      <c r="D343" s="958">
        <v>0.15</v>
      </c>
      <c r="E343" s="958">
        <v>0.15</v>
      </c>
      <c r="F343" s="959">
        <v>0.15</v>
      </c>
    </row>
    <row r="344" spans="1:6" ht="16" thickBot="1" x14ac:dyDescent="0.25">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baseColWidth="10" defaultColWidth="8.83203125" defaultRowHeight="15" x14ac:dyDescent="0.2"/>
  <cols>
    <col min="1" max="1" width="4.83203125" style="1362" customWidth="1"/>
    <col min="2" max="2" width="13.1640625" style="1368" customWidth="1"/>
    <col min="3" max="3" width="15.6640625" style="1368" customWidth="1"/>
    <col min="4" max="4" width="9.33203125" style="1368" bestFit="1" customWidth="1"/>
    <col min="5" max="5" width="13.5" style="1368" customWidth="1"/>
    <col min="6" max="6" width="8.83203125" style="1368"/>
    <col min="7" max="7" width="9.33203125" style="1368" bestFit="1" customWidth="1"/>
    <col min="8" max="8" width="12.1640625" style="1368" customWidth="1"/>
    <col min="9" max="9" width="8.83203125" style="1368"/>
    <col min="10" max="10" width="9.33203125" style="1368" bestFit="1" customWidth="1"/>
    <col min="11" max="11" width="4" style="1362" customWidth="1"/>
    <col min="12" max="12" width="5.1640625" style="1368" customWidth="1"/>
    <col min="13" max="13" width="13.6640625" style="1368" customWidth="1"/>
    <col min="14" max="256" width="8.83203125" style="1368"/>
    <col min="257" max="257" width="4.83203125" style="1359" customWidth="1"/>
    <col min="258" max="258" width="13.1640625" style="1359" customWidth="1"/>
    <col min="259" max="259" width="15.6640625" style="1359" customWidth="1"/>
    <col min="260" max="260" width="9.33203125" style="1359" bestFit="1" customWidth="1"/>
    <col min="261" max="261" width="13.5" style="1359" customWidth="1"/>
    <col min="262" max="262" width="8.83203125" style="1359"/>
    <col min="263" max="263" width="9.33203125" style="1359" bestFit="1" customWidth="1"/>
    <col min="264" max="265" width="8.83203125" style="1359"/>
    <col min="266" max="266" width="9.33203125" style="1359" bestFit="1" customWidth="1"/>
    <col min="267" max="267" width="4" style="1359" customWidth="1"/>
    <col min="268" max="268" width="5.1640625" style="1359" customWidth="1"/>
    <col min="269" max="269" width="13.6640625" style="1359" customWidth="1"/>
    <col min="270" max="512" width="8.83203125" style="1359"/>
    <col min="513" max="513" width="4.83203125" style="1359" customWidth="1"/>
    <col min="514" max="514" width="13.1640625" style="1359" customWidth="1"/>
    <col min="515" max="515" width="15.6640625" style="1359" customWidth="1"/>
    <col min="516" max="516" width="9.33203125" style="1359" bestFit="1" customWidth="1"/>
    <col min="517" max="517" width="13.5" style="1359" customWidth="1"/>
    <col min="518" max="518" width="8.83203125" style="1359"/>
    <col min="519" max="519" width="9.33203125" style="1359" bestFit="1" customWidth="1"/>
    <col min="520" max="521" width="8.83203125" style="1359"/>
    <col min="522" max="522" width="9.33203125" style="1359" bestFit="1" customWidth="1"/>
    <col min="523" max="523" width="4" style="1359" customWidth="1"/>
    <col min="524" max="524" width="5.1640625" style="1359" customWidth="1"/>
    <col min="525" max="525" width="13.6640625" style="1359" customWidth="1"/>
    <col min="526" max="768" width="8.83203125" style="1359"/>
    <col min="769" max="769" width="4.83203125" style="1359" customWidth="1"/>
    <col min="770" max="770" width="13.1640625" style="1359" customWidth="1"/>
    <col min="771" max="771" width="15.6640625" style="1359" customWidth="1"/>
    <col min="772" max="772" width="9.33203125" style="1359" bestFit="1" customWidth="1"/>
    <col min="773" max="773" width="13.5" style="1359" customWidth="1"/>
    <col min="774" max="774" width="8.83203125" style="1359"/>
    <col min="775" max="775" width="9.33203125" style="1359" bestFit="1" customWidth="1"/>
    <col min="776" max="777" width="8.83203125" style="1359"/>
    <col min="778" max="778" width="9.33203125" style="1359" bestFit="1" customWidth="1"/>
    <col min="779" max="779" width="4" style="1359" customWidth="1"/>
    <col min="780" max="780" width="5.1640625" style="1359" customWidth="1"/>
    <col min="781" max="781" width="13.6640625" style="1359" customWidth="1"/>
    <col min="782" max="1024" width="8.83203125" style="1359"/>
    <col min="1025" max="1025" width="4.83203125" style="1359" customWidth="1"/>
    <col min="1026" max="1026" width="13.1640625" style="1359" customWidth="1"/>
    <col min="1027" max="1027" width="15.6640625" style="1359" customWidth="1"/>
    <col min="1028" max="1028" width="9.33203125" style="1359" bestFit="1" customWidth="1"/>
    <col min="1029" max="1029" width="13.5" style="1359" customWidth="1"/>
    <col min="1030" max="1030" width="8.83203125" style="1359"/>
    <col min="1031" max="1031" width="9.33203125" style="1359" bestFit="1" customWidth="1"/>
    <col min="1032" max="1033" width="8.83203125" style="1359"/>
    <col min="1034" max="1034" width="9.33203125" style="1359" bestFit="1" customWidth="1"/>
    <col min="1035" max="1035" width="4" style="1359" customWidth="1"/>
    <col min="1036" max="1036" width="5.1640625" style="1359" customWidth="1"/>
    <col min="1037" max="1037" width="13.6640625" style="1359" customWidth="1"/>
    <col min="1038" max="1280" width="8.83203125" style="1359"/>
    <col min="1281" max="1281" width="4.83203125" style="1359" customWidth="1"/>
    <col min="1282" max="1282" width="13.1640625" style="1359" customWidth="1"/>
    <col min="1283" max="1283" width="15.6640625" style="1359" customWidth="1"/>
    <col min="1284" max="1284" width="9.33203125" style="1359" bestFit="1" customWidth="1"/>
    <col min="1285" max="1285" width="13.5" style="1359" customWidth="1"/>
    <col min="1286" max="1286" width="8.83203125" style="1359"/>
    <col min="1287" max="1287" width="9.33203125" style="1359" bestFit="1" customWidth="1"/>
    <col min="1288" max="1289" width="8.83203125" style="1359"/>
    <col min="1290" max="1290" width="9.33203125" style="1359" bestFit="1" customWidth="1"/>
    <col min="1291" max="1291" width="4" style="1359" customWidth="1"/>
    <col min="1292" max="1292" width="5.1640625" style="1359" customWidth="1"/>
    <col min="1293" max="1293" width="13.6640625" style="1359" customWidth="1"/>
    <col min="1294" max="1536" width="8.83203125" style="1359"/>
    <col min="1537" max="1537" width="4.83203125" style="1359" customWidth="1"/>
    <col min="1538" max="1538" width="13.1640625" style="1359" customWidth="1"/>
    <col min="1539" max="1539" width="15.6640625" style="1359" customWidth="1"/>
    <col min="1540" max="1540" width="9.33203125" style="1359" bestFit="1" customWidth="1"/>
    <col min="1541" max="1541" width="13.5" style="1359" customWidth="1"/>
    <col min="1542" max="1542" width="8.83203125" style="1359"/>
    <col min="1543" max="1543" width="9.33203125" style="1359" bestFit="1" customWidth="1"/>
    <col min="1544" max="1545" width="8.83203125" style="1359"/>
    <col min="1546" max="1546" width="9.33203125" style="1359" bestFit="1" customWidth="1"/>
    <col min="1547" max="1547" width="4" style="1359" customWidth="1"/>
    <col min="1548" max="1548" width="5.1640625" style="1359" customWidth="1"/>
    <col min="1549" max="1549" width="13.6640625" style="1359" customWidth="1"/>
    <col min="1550" max="1792" width="8.83203125" style="1359"/>
    <col min="1793" max="1793" width="4.83203125" style="1359" customWidth="1"/>
    <col min="1794" max="1794" width="13.1640625" style="1359" customWidth="1"/>
    <col min="1795" max="1795" width="15.6640625" style="1359" customWidth="1"/>
    <col min="1796" max="1796" width="9.33203125" style="1359" bestFit="1" customWidth="1"/>
    <col min="1797" max="1797" width="13.5" style="1359" customWidth="1"/>
    <col min="1798" max="1798" width="8.83203125" style="1359"/>
    <col min="1799" max="1799" width="9.33203125" style="1359" bestFit="1" customWidth="1"/>
    <col min="1800" max="1801" width="8.83203125" style="1359"/>
    <col min="1802" max="1802" width="9.33203125" style="1359" bestFit="1" customWidth="1"/>
    <col min="1803" max="1803" width="4" style="1359" customWidth="1"/>
    <col min="1804" max="1804" width="5.1640625" style="1359" customWidth="1"/>
    <col min="1805" max="1805" width="13.6640625" style="1359" customWidth="1"/>
    <col min="1806" max="2048" width="8.83203125" style="1359"/>
    <col min="2049" max="2049" width="4.83203125" style="1359" customWidth="1"/>
    <col min="2050" max="2050" width="13.1640625" style="1359" customWidth="1"/>
    <col min="2051" max="2051" width="15.6640625" style="1359" customWidth="1"/>
    <col min="2052" max="2052" width="9.33203125" style="1359" bestFit="1" customWidth="1"/>
    <col min="2053" max="2053" width="13.5" style="1359" customWidth="1"/>
    <col min="2054" max="2054" width="8.83203125" style="1359"/>
    <col min="2055" max="2055" width="9.33203125" style="1359" bestFit="1" customWidth="1"/>
    <col min="2056" max="2057" width="8.83203125" style="1359"/>
    <col min="2058" max="2058" width="9.33203125" style="1359" bestFit="1" customWidth="1"/>
    <col min="2059" max="2059" width="4" style="1359" customWidth="1"/>
    <col min="2060" max="2060" width="5.1640625" style="1359" customWidth="1"/>
    <col min="2061" max="2061" width="13.6640625" style="1359" customWidth="1"/>
    <col min="2062" max="2304" width="8.83203125" style="1359"/>
    <col min="2305" max="2305" width="4.83203125" style="1359" customWidth="1"/>
    <col min="2306" max="2306" width="13.1640625" style="1359" customWidth="1"/>
    <col min="2307" max="2307" width="15.6640625" style="1359" customWidth="1"/>
    <col min="2308" max="2308" width="9.33203125" style="1359" bestFit="1" customWidth="1"/>
    <col min="2309" max="2309" width="13.5" style="1359" customWidth="1"/>
    <col min="2310" max="2310" width="8.83203125" style="1359"/>
    <col min="2311" max="2311" width="9.33203125" style="1359" bestFit="1" customWidth="1"/>
    <col min="2312" max="2313" width="8.83203125" style="1359"/>
    <col min="2314" max="2314" width="9.33203125" style="1359" bestFit="1" customWidth="1"/>
    <col min="2315" max="2315" width="4" style="1359" customWidth="1"/>
    <col min="2316" max="2316" width="5.1640625" style="1359" customWidth="1"/>
    <col min="2317" max="2317" width="13.6640625" style="1359" customWidth="1"/>
    <col min="2318" max="2560" width="8.83203125" style="1359"/>
    <col min="2561" max="2561" width="4.83203125" style="1359" customWidth="1"/>
    <col min="2562" max="2562" width="13.1640625" style="1359" customWidth="1"/>
    <col min="2563" max="2563" width="15.6640625" style="1359" customWidth="1"/>
    <col min="2564" max="2564" width="9.33203125" style="1359" bestFit="1" customWidth="1"/>
    <col min="2565" max="2565" width="13.5" style="1359" customWidth="1"/>
    <col min="2566" max="2566" width="8.83203125" style="1359"/>
    <col min="2567" max="2567" width="9.33203125" style="1359" bestFit="1" customWidth="1"/>
    <col min="2568" max="2569" width="8.83203125" style="1359"/>
    <col min="2570" max="2570" width="9.33203125" style="1359" bestFit="1" customWidth="1"/>
    <col min="2571" max="2571" width="4" style="1359" customWidth="1"/>
    <col min="2572" max="2572" width="5.1640625" style="1359" customWidth="1"/>
    <col min="2573" max="2573" width="13.6640625" style="1359" customWidth="1"/>
    <col min="2574" max="2816" width="8.83203125" style="1359"/>
    <col min="2817" max="2817" width="4.83203125" style="1359" customWidth="1"/>
    <col min="2818" max="2818" width="13.1640625" style="1359" customWidth="1"/>
    <col min="2819" max="2819" width="15.6640625" style="1359" customWidth="1"/>
    <col min="2820" max="2820" width="9.33203125" style="1359" bestFit="1" customWidth="1"/>
    <col min="2821" max="2821" width="13.5" style="1359" customWidth="1"/>
    <col min="2822" max="2822" width="8.83203125" style="1359"/>
    <col min="2823" max="2823" width="9.33203125" style="1359" bestFit="1" customWidth="1"/>
    <col min="2824" max="2825" width="8.83203125" style="1359"/>
    <col min="2826" max="2826" width="9.33203125" style="1359" bestFit="1" customWidth="1"/>
    <col min="2827" max="2827" width="4" style="1359" customWidth="1"/>
    <col min="2828" max="2828" width="5.1640625" style="1359" customWidth="1"/>
    <col min="2829" max="2829" width="13.6640625" style="1359" customWidth="1"/>
    <col min="2830" max="3072" width="8.83203125" style="1359"/>
    <col min="3073" max="3073" width="4.83203125" style="1359" customWidth="1"/>
    <col min="3074" max="3074" width="13.1640625" style="1359" customWidth="1"/>
    <col min="3075" max="3075" width="15.6640625" style="1359" customWidth="1"/>
    <col min="3076" max="3076" width="9.33203125" style="1359" bestFit="1" customWidth="1"/>
    <col min="3077" max="3077" width="13.5" style="1359" customWidth="1"/>
    <col min="3078" max="3078" width="8.83203125" style="1359"/>
    <col min="3079" max="3079" width="9.33203125" style="1359" bestFit="1" customWidth="1"/>
    <col min="3080" max="3081" width="8.83203125" style="1359"/>
    <col min="3082" max="3082" width="9.33203125" style="1359" bestFit="1" customWidth="1"/>
    <col min="3083" max="3083" width="4" style="1359" customWidth="1"/>
    <col min="3084" max="3084" width="5.1640625" style="1359" customWidth="1"/>
    <col min="3085" max="3085" width="13.6640625" style="1359" customWidth="1"/>
    <col min="3086" max="3328" width="8.83203125" style="1359"/>
    <col min="3329" max="3329" width="4.83203125" style="1359" customWidth="1"/>
    <col min="3330" max="3330" width="13.1640625" style="1359" customWidth="1"/>
    <col min="3331" max="3331" width="15.6640625" style="1359" customWidth="1"/>
    <col min="3332" max="3332" width="9.33203125" style="1359" bestFit="1" customWidth="1"/>
    <col min="3333" max="3333" width="13.5" style="1359" customWidth="1"/>
    <col min="3334" max="3334" width="8.83203125" style="1359"/>
    <col min="3335" max="3335" width="9.33203125" style="1359" bestFit="1" customWidth="1"/>
    <col min="3336" max="3337" width="8.83203125" style="1359"/>
    <col min="3338" max="3338" width="9.33203125" style="1359" bestFit="1" customWidth="1"/>
    <col min="3339" max="3339" width="4" style="1359" customWidth="1"/>
    <col min="3340" max="3340" width="5.1640625" style="1359" customWidth="1"/>
    <col min="3341" max="3341" width="13.6640625" style="1359" customWidth="1"/>
    <col min="3342" max="3584" width="8.83203125" style="1359"/>
    <col min="3585" max="3585" width="4.83203125" style="1359" customWidth="1"/>
    <col min="3586" max="3586" width="13.1640625" style="1359" customWidth="1"/>
    <col min="3587" max="3587" width="15.6640625" style="1359" customWidth="1"/>
    <col min="3588" max="3588" width="9.33203125" style="1359" bestFit="1" customWidth="1"/>
    <col min="3589" max="3589" width="13.5" style="1359" customWidth="1"/>
    <col min="3590" max="3590" width="8.83203125" style="1359"/>
    <col min="3591" max="3591" width="9.33203125" style="1359" bestFit="1" customWidth="1"/>
    <col min="3592" max="3593" width="8.83203125" style="1359"/>
    <col min="3594" max="3594" width="9.33203125" style="1359" bestFit="1" customWidth="1"/>
    <col min="3595" max="3595" width="4" style="1359" customWidth="1"/>
    <col min="3596" max="3596" width="5.1640625" style="1359" customWidth="1"/>
    <col min="3597" max="3597" width="13.6640625" style="1359" customWidth="1"/>
    <col min="3598" max="3840" width="8.83203125" style="1359"/>
    <col min="3841" max="3841" width="4.83203125" style="1359" customWidth="1"/>
    <col min="3842" max="3842" width="13.1640625" style="1359" customWidth="1"/>
    <col min="3843" max="3843" width="15.6640625" style="1359" customWidth="1"/>
    <col min="3844" max="3844" width="9.33203125" style="1359" bestFit="1" customWidth="1"/>
    <col min="3845" max="3845" width="13.5" style="1359" customWidth="1"/>
    <col min="3846" max="3846" width="8.83203125" style="1359"/>
    <col min="3847" max="3847" width="9.33203125" style="1359" bestFit="1" customWidth="1"/>
    <col min="3848" max="3849" width="8.83203125" style="1359"/>
    <col min="3850" max="3850" width="9.33203125" style="1359" bestFit="1" customWidth="1"/>
    <col min="3851" max="3851" width="4" style="1359" customWidth="1"/>
    <col min="3852" max="3852" width="5.1640625" style="1359" customWidth="1"/>
    <col min="3853" max="3853" width="13.6640625" style="1359" customWidth="1"/>
    <col min="3854" max="4096" width="8.83203125" style="1359"/>
    <col min="4097" max="4097" width="4.83203125" style="1359" customWidth="1"/>
    <col min="4098" max="4098" width="13.1640625" style="1359" customWidth="1"/>
    <col min="4099" max="4099" width="15.6640625" style="1359" customWidth="1"/>
    <col min="4100" max="4100" width="9.33203125" style="1359" bestFit="1" customWidth="1"/>
    <col min="4101" max="4101" width="13.5" style="1359" customWidth="1"/>
    <col min="4102" max="4102" width="8.83203125" style="1359"/>
    <col min="4103" max="4103" width="9.33203125" style="1359" bestFit="1" customWidth="1"/>
    <col min="4104" max="4105" width="8.83203125" style="1359"/>
    <col min="4106" max="4106" width="9.33203125" style="1359" bestFit="1" customWidth="1"/>
    <col min="4107" max="4107" width="4" style="1359" customWidth="1"/>
    <col min="4108" max="4108" width="5.1640625" style="1359" customWidth="1"/>
    <col min="4109" max="4109" width="13.6640625" style="1359" customWidth="1"/>
    <col min="4110" max="4352" width="8.83203125" style="1359"/>
    <col min="4353" max="4353" width="4.83203125" style="1359" customWidth="1"/>
    <col min="4354" max="4354" width="13.1640625" style="1359" customWidth="1"/>
    <col min="4355" max="4355" width="15.6640625" style="1359" customWidth="1"/>
    <col min="4356" max="4356" width="9.33203125" style="1359" bestFit="1" customWidth="1"/>
    <col min="4357" max="4357" width="13.5" style="1359" customWidth="1"/>
    <col min="4358" max="4358" width="8.83203125" style="1359"/>
    <col min="4359" max="4359" width="9.33203125" style="1359" bestFit="1" customWidth="1"/>
    <col min="4360" max="4361" width="8.83203125" style="1359"/>
    <col min="4362" max="4362" width="9.33203125" style="1359" bestFit="1" customWidth="1"/>
    <col min="4363" max="4363" width="4" style="1359" customWidth="1"/>
    <col min="4364" max="4364" width="5.1640625" style="1359" customWidth="1"/>
    <col min="4365" max="4365" width="13.6640625" style="1359" customWidth="1"/>
    <col min="4366" max="4608" width="8.83203125" style="1359"/>
    <col min="4609" max="4609" width="4.83203125" style="1359" customWidth="1"/>
    <col min="4610" max="4610" width="13.1640625" style="1359" customWidth="1"/>
    <col min="4611" max="4611" width="15.6640625" style="1359" customWidth="1"/>
    <col min="4612" max="4612" width="9.33203125" style="1359" bestFit="1" customWidth="1"/>
    <col min="4613" max="4613" width="13.5" style="1359" customWidth="1"/>
    <col min="4614" max="4614" width="8.83203125" style="1359"/>
    <col min="4615" max="4615" width="9.33203125" style="1359" bestFit="1" customWidth="1"/>
    <col min="4616" max="4617" width="8.83203125" style="1359"/>
    <col min="4618" max="4618" width="9.33203125" style="1359" bestFit="1" customWidth="1"/>
    <col min="4619" max="4619" width="4" style="1359" customWidth="1"/>
    <col min="4620" max="4620" width="5.1640625" style="1359" customWidth="1"/>
    <col min="4621" max="4621" width="13.6640625" style="1359" customWidth="1"/>
    <col min="4622" max="4864" width="8.83203125" style="1359"/>
    <col min="4865" max="4865" width="4.83203125" style="1359" customWidth="1"/>
    <col min="4866" max="4866" width="13.1640625" style="1359" customWidth="1"/>
    <col min="4867" max="4867" width="15.6640625" style="1359" customWidth="1"/>
    <col min="4868" max="4868" width="9.33203125" style="1359" bestFit="1" customWidth="1"/>
    <col min="4869" max="4869" width="13.5" style="1359" customWidth="1"/>
    <col min="4870" max="4870" width="8.83203125" style="1359"/>
    <col min="4871" max="4871" width="9.33203125" style="1359" bestFit="1" customWidth="1"/>
    <col min="4872" max="4873" width="8.83203125" style="1359"/>
    <col min="4874" max="4874" width="9.33203125" style="1359" bestFit="1" customWidth="1"/>
    <col min="4875" max="4875" width="4" style="1359" customWidth="1"/>
    <col min="4876" max="4876" width="5.1640625" style="1359" customWidth="1"/>
    <col min="4877" max="4877" width="13.6640625" style="1359" customWidth="1"/>
    <col min="4878" max="5120" width="8.83203125" style="1359"/>
    <col min="5121" max="5121" width="4.83203125" style="1359" customWidth="1"/>
    <col min="5122" max="5122" width="13.1640625" style="1359" customWidth="1"/>
    <col min="5123" max="5123" width="15.6640625" style="1359" customWidth="1"/>
    <col min="5124" max="5124" width="9.33203125" style="1359" bestFit="1" customWidth="1"/>
    <col min="5125" max="5125" width="13.5" style="1359" customWidth="1"/>
    <col min="5126" max="5126" width="8.83203125" style="1359"/>
    <col min="5127" max="5127" width="9.33203125" style="1359" bestFit="1" customWidth="1"/>
    <col min="5128" max="5129" width="8.83203125" style="1359"/>
    <col min="5130" max="5130" width="9.33203125" style="1359" bestFit="1" customWidth="1"/>
    <col min="5131" max="5131" width="4" style="1359" customWidth="1"/>
    <col min="5132" max="5132" width="5.1640625" style="1359" customWidth="1"/>
    <col min="5133" max="5133" width="13.6640625" style="1359" customWidth="1"/>
    <col min="5134" max="5376" width="8.83203125" style="1359"/>
    <col min="5377" max="5377" width="4.83203125" style="1359" customWidth="1"/>
    <col min="5378" max="5378" width="13.1640625" style="1359" customWidth="1"/>
    <col min="5379" max="5379" width="15.6640625" style="1359" customWidth="1"/>
    <col min="5380" max="5380" width="9.33203125" style="1359" bestFit="1" customWidth="1"/>
    <col min="5381" max="5381" width="13.5" style="1359" customWidth="1"/>
    <col min="5382" max="5382" width="8.83203125" style="1359"/>
    <col min="5383" max="5383" width="9.33203125" style="1359" bestFit="1" customWidth="1"/>
    <col min="5384" max="5385" width="8.83203125" style="1359"/>
    <col min="5386" max="5386" width="9.33203125" style="1359" bestFit="1" customWidth="1"/>
    <col min="5387" max="5387" width="4" style="1359" customWidth="1"/>
    <col min="5388" max="5388" width="5.1640625" style="1359" customWidth="1"/>
    <col min="5389" max="5389" width="13.6640625" style="1359" customWidth="1"/>
    <col min="5390" max="5632" width="8.83203125" style="1359"/>
    <col min="5633" max="5633" width="4.83203125" style="1359" customWidth="1"/>
    <col min="5634" max="5634" width="13.1640625" style="1359" customWidth="1"/>
    <col min="5635" max="5635" width="15.6640625" style="1359" customWidth="1"/>
    <col min="5636" max="5636" width="9.33203125" style="1359" bestFit="1" customWidth="1"/>
    <col min="5637" max="5637" width="13.5" style="1359" customWidth="1"/>
    <col min="5638" max="5638" width="8.83203125" style="1359"/>
    <col min="5639" max="5639" width="9.33203125" style="1359" bestFit="1" customWidth="1"/>
    <col min="5640" max="5641" width="8.83203125" style="1359"/>
    <col min="5642" max="5642" width="9.33203125" style="1359" bestFit="1" customWidth="1"/>
    <col min="5643" max="5643" width="4" style="1359" customWidth="1"/>
    <col min="5644" max="5644" width="5.1640625" style="1359" customWidth="1"/>
    <col min="5645" max="5645" width="13.6640625" style="1359" customWidth="1"/>
    <col min="5646" max="5888" width="8.83203125" style="1359"/>
    <col min="5889" max="5889" width="4.83203125" style="1359" customWidth="1"/>
    <col min="5890" max="5890" width="13.1640625" style="1359" customWidth="1"/>
    <col min="5891" max="5891" width="15.6640625" style="1359" customWidth="1"/>
    <col min="5892" max="5892" width="9.33203125" style="1359" bestFit="1" customWidth="1"/>
    <col min="5893" max="5893" width="13.5" style="1359" customWidth="1"/>
    <col min="5894" max="5894" width="8.83203125" style="1359"/>
    <col min="5895" max="5895" width="9.33203125" style="1359" bestFit="1" customWidth="1"/>
    <col min="5896" max="5897" width="8.83203125" style="1359"/>
    <col min="5898" max="5898" width="9.33203125" style="1359" bestFit="1" customWidth="1"/>
    <col min="5899" max="5899" width="4" style="1359" customWidth="1"/>
    <col min="5900" max="5900" width="5.1640625" style="1359" customWidth="1"/>
    <col min="5901" max="5901" width="13.6640625" style="1359" customWidth="1"/>
    <col min="5902" max="6144" width="8.83203125" style="1359"/>
    <col min="6145" max="6145" width="4.83203125" style="1359" customWidth="1"/>
    <col min="6146" max="6146" width="13.1640625" style="1359" customWidth="1"/>
    <col min="6147" max="6147" width="15.6640625" style="1359" customWidth="1"/>
    <col min="6148" max="6148" width="9.33203125" style="1359" bestFit="1" customWidth="1"/>
    <col min="6149" max="6149" width="13.5" style="1359" customWidth="1"/>
    <col min="6150" max="6150" width="8.83203125" style="1359"/>
    <col min="6151" max="6151" width="9.33203125" style="1359" bestFit="1" customWidth="1"/>
    <col min="6152" max="6153" width="8.83203125" style="1359"/>
    <col min="6154" max="6154" width="9.33203125" style="1359" bestFit="1" customWidth="1"/>
    <col min="6155" max="6155" width="4" style="1359" customWidth="1"/>
    <col min="6156" max="6156" width="5.1640625" style="1359" customWidth="1"/>
    <col min="6157" max="6157" width="13.6640625" style="1359" customWidth="1"/>
    <col min="6158" max="6400" width="8.83203125" style="1359"/>
    <col min="6401" max="6401" width="4.83203125" style="1359" customWidth="1"/>
    <col min="6402" max="6402" width="13.1640625" style="1359" customWidth="1"/>
    <col min="6403" max="6403" width="15.6640625" style="1359" customWidth="1"/>
    <col min="6404" max="6404" width="9.33203125" style="1359" bestFit="1" customWidth="1"/>
    <col min="6405" max="6405" width="13.5" style="1359" customWidth="1"/>
    <col min="6406" max="6406" width="8.83203125" style="1359"/>
    <col min="6407" max="6407" width="9.33203125" style="1359" bestFit="1" customWidth="1"/>
    <col min="6408" max="6409" width="8.83203125" style="1359"/>
    <col min="6410" max="6410" width="9.33203125" style="1359" bestFit="1" customWidth="1"/>
    <col min="6411" max="6411" width="4" style="1359" customWidth="1"/>
    <col min="6412" max="6412" width="5.1640625" style="1359" customWidth="1"/>
    <col min="6413" max="6413" width="13.6640625" style="1359" customWidth="1"/>
    <col min="6414" max="6656" width="8.83203125" style="1359"/>
    <col min="6657" max="6657" width="4.83203125" style="1359" customWidth="1"/>
    <col min="6658" max="6658" width="13.1640625" style="1359" customWidth="1"/>
    <col min="6659" max="6659" width="15.6640625" style="1359" customWidth="1"/>
    <col min="6660" max="6660" width="9.33203125" style="1359" bestFit="1" customWidth="1"/>
    <col min="6661" max="6661" width="13.5" style="1359" customWidth="1"/>
    <col min="6662" max="6662" width="8.83203125" style="1359"/>
    <col min="6663" max="6663" width="9.33203125" style="1359" bestFit="1" customWidth="1"/>
    <col min="6664" max="6665" width="8.83203125" style="1359"/>
    <col min="6666" max="6666" width="9.33203125" style="1359" bestFit="1" customWidth="1"/>
    <col min="6667" max="6667" width="4" style="1359" customWidth="1"/>
    <col min="6668" max="6668" width="5.1640625" style="1359" customWidth="1"/>
    <col min="6669" max="6669" width="13.6640625" style="1359" customWidth="1"/>
    <col min="6670" max="6912" width="8.83203125" style="1359"/>
    <col min="6913" max="6913" width="4.83203125" style="1359" customWidth="1"/>
    <col min="6914" max="6914" width="13.1640625" style="1359" customWidth="1"/>
    <col min="6915" max="6915" width="15.6640625" style="1359" customWidth="1"/>
    <col min="6916" max="6916" width="9.33203125" style="1359" bestFit="1" customWidth="1"/>
    <col min="6917" max="6917" width="13.5" style="1359" customWidth="1"/>
    <col min="6918" max="6918" width="8.83203125" style="1359"/>
    <col min="6919" max="6919" width="9.33203125" style="1359" bestFit="1" customWidth="1"/>
    <col min="6920" max="6921" width="8.83203125" style="1359"/>
    <col min="6922" max="6922" width="9.33203125" style="1359" bestFit="1" customWidth="1"/>
    <col min="6923" max="6923" width="4" style="1359" customWidth="1"/>
    <col min="6924" max="6924" width="5.1640625" style="1359" customWidth="1"/>
    <col min="6925" max="6925" width="13.6640625" style="1359" customWidth="1"/>
    <col min="6926" max="7168" width="8.83203125" style="1359"/>
    <col min="7169" max="7169" width="4.83203125" style="1359" customWidth="1"/>
    <col min="7170" max="7170" width="13.1640625" style="1359" customWidth="1"/>
    <col min="7171" max="7171" width="15.6640625" style="1359" customWidth="1"/>
    <col min="7172" max="7172" width="9.33203125" style="1359" bestFit="1" customWidth="1"/>
    <col min="7173" max="7173" width="13.5" style="1359" customWidth="1"/>
    <col min="7174" max="7174" width="8.83203125" style="1359"/>
    <col min="7175" max="7175" width="9.33203125" style="1359" bestFit="1" customWidth="1"/>
    <col min="7176" max="7177" width="8.83203125" style="1359"/>
    <col min="7178" max="7178" width="9.33203125" style="1359" bestFit="1" customWidth="1"/>
    <col min="7179" max="7179" width="4" style="1359" customWidth="1"/>
    <col min="7180" max="7180" width="5.1640625" style="1359" customWidth="1"/>
    <col min="7181" max="7181" width="13.6640625" style="1359" customWidth="1"/>
    <col min="7182" max="7424" width="8.83203125" style="1359"/>
    <col min="7425" max="7425" width="4.83203125" style="1359" customWidth="1"/>
    <col min="7426" max="7426" width="13.1640625" style="1359" customWidth="1"/>
    <col min="7427" max="7427" width="15.6640625" style="1359" customWidth="1"/>
    <col min="7428" max="7428" width="9.33203125" style="1359" bestFit="1" customWidth="1"/>
    <col min="7429" max="7429" width="13.5" style="1359" customWidth="1"/>
    <col min="7430" max="7430" width="8.83203125" style="1359"/>
    <col min="7431" max="7431" width="9.33203125" style="1359" bestFit="1" customWidth="1"/>
    <col min="7432" max="7433" width="8.83203125" style="1359"/>
    <col min="7434" max="7434" width="9.33203125" style="1359" bestFit="1" customWidth="1"/>
    <col min="7435" max="7435" width="4" style="1359" customWidth="1"/>
    <col min="7436" max="7436" width="5.1640625" style="1359" customWidth="1"/>
    <col min="7437" max="7437" width="13.6640625" style="1359" customWidth="1"/>
    <col min="7438" max="7680" width="8.83203125" style="1359"/>
    <col min="7681" max="7681" width="4.83203125" style="1359" customWidth="1"/>
    <col min="7682" max="7682" width="13.1640625" style="1359" customWidth="1"/>
    <col min="7683" max="7683" width="15.6640625" style="1359" customWidth="1"/>
    <col min="7684" max="7684" width="9.33203125" style="1359" bestFit="1" customWidth="1"/>
    <col min="7685" max="7685" width="13.5" style="1359" customWidth="1"/>
    <col min="7686" max="7686" width="8.83203125" style="1359"/>
    <col min="7687" max="7687" width="9.33203125" style="1359" bestFit="1" customWidth="1"/>
    <col min="7688" max="7689" width="8.83203125" style="1359"/>
    <col min="7690" max="7690" width="9.33203125" style="1359" bestFit="1" customWidth="1"/>
    <col min="7691" max="7691" width="4" style="1359" customWidth="1"/>
    <col min="7692" max="7692" width="5.1640625" style="1359" customWidth="1"/>
    <col min="7693" max="7693" width="13.6640625" style="1359" customWidth="1"/>
    <col min="7694" max="7936" width="8.83203125" style="1359"/>
    <col min="7937" max="7937" width="4.83203125" style="1359" customWidth="1"/>
    <col min="7938" max="7938" width="13.1640625" style="1359" customWidth="1"/>
    <col min="7939" max="7939" width="15.6640625" style="1359" customWidth="1"/>
    <col min="7940" max="7940" width="9.33203125" style="1359" bestFit="1" customWidth="1"/>
    <col min="7941" max="7941" width="13.5" style="1359" customWidth="1"/>
    <col min="7942" max="7942" width="8.83203125" style="1359"/>
    <col min="7943" max="7943" width="9.33203125" style="1359" bestFit="1" customWidth="1"/>
    <col min="7944" max="7945" width="8.83203125" style="1359"/>
    <col min="7946" max="7946" width="9.33203125" style="1359" bestFit="1" customWidth="1"/>
    <col min="7947" max="7947" width="4" style="1359" customWidth="1"/>
    <col min="7948" max="7948" width="5.1640625" style="1359" customWidth="1"/>
    <col min="7949" max="7949" width="13.6640625" style="1359" customWidth="1"/>
    <col min="7950" max="8192" width="8.83203125" style="1359"/>
    <col min="8193" max="8193" width="4.83203125" style="1359" customWidth="1"/>
    <col min="8194" max="8194" width="13.1640625" style="1359" customWidth="1"/>
    <col min="8195" max="8195" width="15.6640625" style="1359" customWidth="1"/>
    <col min="8196" max="8196" width="9.33203125" style="1359" bestFit="1" customWidth="1"/>
    <col min="8197" max="8197" width="13.5" style="1359" customWidth="1"/>
    <col min="8198" max="8198" width="8.83203125" style="1359"/>
    <col min="8199" max="8199" width="9.33203125" style="1359" bestFit="1" customWidth="1"/>
    <col min="8200" max="8201" width="8.83203125" style="1359"/>
    <col min="8202" max="8202" width="9.33203125" style="1359" bestFit="1" customWidth="1"/>
    <col min="8203" max="8203" width="4" style="1359" customWidth="1"/>
    <col min="8204" max="8204" width="5.1640625" style="1359" customWidth="1"/>
    <col min="8205" max="8205" width="13.6640625" style="1359" customWidth="1"/>
    <col min="8206" max="8448" width="8.83203125" style="1359"/>
    <col min="8449" max="8449" width="4.83203125" style="1359" customWidth="1"/>
    <col min="8450" max="8450" width="13.1640625" style="1359" customWidth="1"/>
    <col min="8451" max="8451" width="15.6640625" style="1359" customWidth="1"/>
    <col min="8452" max="8452" width="9.33203125" style="1359" bestFit="1" customWidth="1"/>
    <col min="8453" max="8453" width="13.5" style="1359" customWidth="1"/>
    <col min="8454" max="8454" width="8.83203125" style="1359"/>
    <col min="8455" max="8455" width="9.33203125" style="1359" bestFit="1" customWidth="1"/>
    <col min="8456" max="8457" width="8.83203125" style="1359"/>
    <col min="8458" max="8458" width="9.33203125" style="1359" bestFit="1" customWidth="1"/>
    <col min="8459" max="8459" width="4" style="1359" customWidth="1"/>
    <col min="8460" max="8460" width="5.1640625" style="1359" customWidth="1"/>
    <col min="8461" max="8461" width="13.6640625" style="1359" customWidth="1"/>
    <col min="8462" max="8704" width="8.83203125" style="1359"/>
    <col min="8705" max="8705" width="4.83203125" style="1359" customWidth="1"/>
    <col min="8706" max="8706" width="13.1640625" style="1359" customWidth="1"/>
    <col min="8707" max="8707" width="15.6640625" style="1359" customWidth="1"/>
    <col min="8708" max="8708" width="9.33203125" style="1359" bestFit="1" customWidth="1"/>
    <col min="8709" max="8709" width="13.5" style="1359" customWidth="1"/>
    <col min="8710" max="8710" width="8.83203125" style="1359"/>
    <col min="8711" max="8711" width="9.33203125" style="1359" bestFit="1" customWidth="1"/>
    <col min="8712" max="8713" width="8.83203125" style="1359"/>
    <col min="8714" max="8714" width="9.33203125" style="1359" bestFit="1" customWidth="1"/>
    <col min="8715" max="8715" width="4" style="1359" customWidth="1"/>
    <col min="8716" max="8716" width="5.1640625" style="1359" customWidth="1"/>
    <col min="8717" max="8717" width="13.6640625" style="1359" customWidth="1"/>
    <col min="8718" max="8960" width="8.83203125" style="1359"/>
    <col min="8961" max="8961" width="4.83203125" style="1359" customWidth="1"/>
    <col min="8962" max="8962" width="13.1640625" style="1359" customWidth="1"/>
    <col min="8963" max="8963" width="15.6640625" style="1359" customWidth="1"/>
    <col min="8964" max="8964" width="9.33203125" style="1359" bestFit="1" customWidth="1"/>
    <col min="8965" max="8965" width="13.5" style="1359" customWidth="1"/>
    <col min="8966" max="8966" width="8.83203125" style="1359"/>
    <col min="8967" max="8967" width="9.33203125" style="1359" bestFit="1" customWidth="1"/>
    <col min="8968" max="8969" width="8.83203125" style="1359"/>
    <col min="8970" max="8970" width="9.33203125" style="1359" bestFit="1" customWidth="1"/>
    <col min="8971" max="8971" width="4" style="1359" customWidth="1"/>
    <col min="8972" max="8972" width="5.1640625" style="1359" customWidth="1"/>
    <col min="8973" max="8973" width="13.6640625" style="1359" customWidth="1"/>
    <col min="8974" max="9216" width="8.83203125" style="1359"/>
    <col min="9217" max="9217" width="4.83203125" style="1359" customWidth="1"/>
    <col min="9218" max="9218" width="13.1640625" style="1359" customWidth="1"/>
    <col min="9219" max="9219" width="15.6640625" style="1359" customWidth="1"/>
    <col min="9220" max="9220" width="9.33203125" style="1359" bestFit="1" customWidth="1"/>
    <col min="9221" max="9221" width="13.5" style="1359" customWidth="1"/>
    <col min="9222" max="9222" width="8.83203125" style="1359"/>
    <col min="9223" max="9223" width="9.33203125" style="1359" bestFit="1" customWidth="1"/>
    <col min="9224" max="9225" width="8.83203125" style="1359"/>
    <col min="9226" max="9226" width="9.33203125" style="1359" bestFit="1" customWidth="1"/>
    <col min="9227" max="9227" width="4" style="1359" customWidth="1"/>
    <col min="9228" max="9228" width="5.1640625" style="1359" customWidth="1"/>
    <col min="9229" max="9229" width="13.6640625" style="1359" customWidth="1"/>
    <col min="9230" max="9472" width="8.83203125" style="1359"/>
    <col min="9473" max="9473" width="4.83203125" style="1359" customWidth="1"/>
    <col min="9474" max="9474" width="13.1640625" style="1359" customWidth="1"/>
    <col min="9475" max="9475" width="15.6640625" style="1359" customWidth="1"/>
    <col min="9476" max="9476" width="9.33203125" style="1359" bestFit="1" customWidth="1"/>
    <col min="9477" max="9477" width="13.5" style="1359" customWidth="1"/>
    <col min="9478" max="9478" width="8.83203125" style="1359"/>
    <col min="9479" max="9479" width="9.33203125" style="1359" bestFit="1" customWidth="1"/>
    <col min="9480" max="9481" width="8.83203125" style="1359"/>
    <col min="9482" max="9482" width="9.33203125" style="1359" bestFit="1" customWidth="1"/>
    <col min="9483" max="9483" width="4" style="1359" customWidth="1"/>
    <col min="9484" max="9484" width="5.1640625" style="1359" customWidth="1"/>
    <col min="9485" max="9485" width="13.6640625" style="1359" customWidth="1"/>
    <col min="9486" max="9728" width="8.83203125" style="1359"/>
    <col min="9729" max="9729" width="4.83203125" style="1359" customWidth="1"/>
    <col min="9730" max="9730" width="13.1640625" style="1359" customWidth="1"/>
    <col min="9731" max="9731" width="15.6640625" style="1359" customWidth="1"/>
    <col min="9732" max="9732" width="9.33203125" style="1359" bestFit="1" customWidth="1"/>
    <col min="9733" max="9733" width="13.5" style="1359" customWidth="1"/>
    <col min="9734" max="9734" width="8.83203125" style="1359"/>
    <col min="9735" max="9735" width="9.33203125" style="1359" bestFit="1" customWidth="1"/>
    <col min="9736" max="9737" width="8.83203125" style="1359"/>
    <col min="9738" max="9738" width="9.33203125" style="1359" bestFit="1" customWidth="1"/>
    <col min="9739" max="9739" width="4" style="1359" customWidth="1"/>
    <col min="9740" max="9740" width="5.1640625" style="1359" customWidth="1"/>
    <col min="9741" max="9741" width="13.6640625" style="1359" customWidth="1"/>
    <col min="9742" max="9984" width="8.83203125" style="1359"/>
    <col min="9985" max="9985" width="4.83203125" style="1359" customWidth="1"/>
    <col min="9986" max="9986" width="13.1640625" style="1359" customWidth="1"/>
    <col min="9987" max="9987" width="15.6640625" style="1359" customWidth="1"/>
    <col min="9988" max="9988" width="9.33203125" style="1359" bestFit="1" customWidth="1"/>
    <col min="9989" max="9989" width="13.5" style="1359" customWidth="1"/>
    <col min="9990" max="9990" width="8.83203125" style="1359"/>
    <col min="9991" max="9991" width="9.33203125" style="1359" bestFit="1" customWidth="1"/>
    <col min="9992" max="9993" width="8.83203125" style="1359"/>
    <col min="9994" max="9994" width="9.33203125" style="1359" bestFit="1" customWidth="1"/>
    <col min="9995" max="9995" width="4" style="1359" customWidth="1"/>
    <col min="9996" max="9996" width="5.1640625" style="1359" customWidth="1"/>
    <col min="9997" max="9997" width="13.6640625" style="1359" customWidth="1"/>
    <col min="9998" max="10240" width="8.83203125" style="1359"/>
    <col min="10241" max="10241" width="4.83203125" style="1359" customWidth="1"/>
    <col min="10242" max="10242" width="13.1640625" style="1359" customWidth="1"/>
    <col min="10243" max="10243" width="15.6640625" style="1359" customWidth="1"/>
    <col min="10244" max="10244" width="9.33203125" style="1359" bestFit="1" customWidth="1"/>
    <col min="10245" max="10245" width="13.5" style="1359" customWidth="1"/>
    <col min="10246" max="10246" width="8.83203125" style="1359"/>
    <col min="10247" max="10247" width="9.33203125" style="1359" bestFit="1" customWidth="1"/>
    <col min="10248" max="10249" width="8.83203125" style="1359"/>
    <col min="10250" max="10250" width="9.33203125" style="1359" bestFit="1" customWidth="1"/>
    <col min="10251" max="10251" width="4" style="1359" customWidth="1"/>
    <col min="10252" max="10252" width="5.1640625" style="1359" customWidth="1"/>
    <col min="10253" max="10253" width="13.6640625" style="1359" customWidth="1"/>
    <col min="10254" max="10496" width="8.83203125" style="1359"/>
    <col min="10497" max="10497" width="4.83203125" style="1359" customWidth="1"/>
    <col min="10498" max="10498" width="13.1640625" style="1359" customWidth="1"/>
    <col min="10499" max="10499" width="15.6640625" style="1359" customWidth="1"/>
    <col min="10500" max="10500" width="9.33203125" style="1359" bestFit="1" customWidth="1"/>
    <col min="10501" max="10501" width="13.5" style="1359" customWidth="1"/>
    <col min="10502" max="10502" width="8.83203125" style="1359"/>
    <col min="10503" max="10503" width="9.33203125" style="1359" bestFit="1" customWidth="1"/>
    <col min="10504" max="10505" width="8.83203125" style="1359"/>
    <col min="10506" max="10506" width="9.33203125" style="1359" bestFit="1" customWidth="1"/>
    <col min="10507" max="10507" width="4" style="1359" customWidth="1"/>
    <col min="10508" max="10508" width="5.1640625" style="1359" customWidth="1"/>
    <col min="10509" max="10509" width="13.6640625" style="1359" customWidth="1"/>
    <col min="10510" max="10752" width="8.83203125" style="1359"/>
    <col min="10753" max="10753" width="4.83203125" style="1359" customWidth="1"/>
    <col min="10754" max="10754" width="13.1640625" style="1359" customWidth="1"/>
    <col min="10755" max="10755" width="15.6640625" style="1359" customWidth="1"/>
    <col min="10756" max="10756" width="9.33203125" style="1359" bestFit="1" customWidth="1"/>
    <col min="10757" max="10757" width="13.5" style="1359" customWidth="1"/>
    <col min="10758" max="10758" width="8.83203125" style="1359"/>
    <col min="10759" max="10759" width="9.33203125" style="1359" bestFit="1" customWidth="1"/>
    <col min="10760" max="10761" width="8.83203125" style="1359"/>
    <col min="10762" max="10762" width="9.33203125" style="1359" bestFit="1" customWidth="1"/>
    <col min="10763" max="10763" width="4" style="1359" customWidth="1"/>
    <col min="10764" max="10764" width="5.1640625" style="1359" customWidth="1"/>
    <col min="10765" max="10765" width="13.6640625" style="1359" customWidth="1"/>
    <col min="10766" max="11008" width="8.83203125" style="1359"/>
    <col min="11009" max="11009" width="4.83203125" style="1359" customWidth="1"/>
    <col min="11010" max="11010" width="13.1640625" style="1359" customWidth="1"/>
    <col min="11011" max="11011" width="15.6640625" style="1359" customWidth="1"/>
    <col min="11012" max="11012" width="9.33203125" style="1359" bestFit="1" customWidth="1"/>
    <col min="11013" max="11013" width="13.5" style="1359" customWidth="1"/>
    <col min="11014" max="11014" width="8.83203125" style="1359"/>
    <col min="11015" max="11015" width="9.33203125" style="1359" bestFit="1" customWidth="1"/>
    <col min="11016" max="11017" width="8.83203125" style="1359"/>
    <col min="11018" max="11018" width="9.33203125" style="1359" bestFit="1" customWidth="1"/>
    <col min="11019" max="11019" width="4" style="1359" customWidth="1"/>
    <col min="11020" max="11020" width="5.1640625" style="1359" customWidth="1"/>
    <col min="11021" max="11021" width="13.6640625" style="1359" customWidth="1"/>
    <col min="11022" max="11264" width="8.83203125" style="1359"/>
    <col min="11265" max="11265" width="4.83203125" style="1359" customWidth="1"/>
    <col min="11266" max="11266" width="13.1640625" style="1359" customWidth="1"/>
    <col min="11267" max="11267" width="15.6640625" style="1359" customWidth="1"/>
    <col min="11268" max="11268" width="9.33203125" style="1359" bestFit="1" customWidth="1"/>
    <col min="11269" max="11269" width="13.5" style="1359" customWidth="1"/>
    <col min="11270" max="11270" width="8.83203125" style="1359"/>
    <col min="11271" max="11271" width="9.33203125" style="1359" bestFit="1" customWidth="1"/>
    <col min="11272" max="11273" width="8.83203125" style="1359"/>
    <col min="11274" max="11274" width="9.33203125" style="1359" bestFit="1" customWidth="1"/>
    <col min="11275" max="11275" width="4" style="1359" customWidth="1"/>
    <col min="11276" max="11276" width="5.1640625" style="1359" customWidth="1"/>
    <col min="11277" max="11277" width="13.6640625" style="1359" customWidth="1"/>
    <col min="11278" max="11520" width="8.83203125" style="1359"/>
    <col min="11521" max="11521" width="4.83203125" style="1359" customWidth="1"/>
    <col min="11522" max="11522" width="13.1640625" style="1359" customWidth="1"/>
    <col min="11523" max="11523" width="15.6640625" style="1359" customWidth="1"/>
    <col min="11524" max="11524" width="9.33203125" style="1359" bestFit="1" customWidth="1"/>
    <col min="11525" max="11525" width="13.5" style="1359" customWidth="1"/>
    <col min="11526" max="11526" width="8.83203125" style="1359"/>
    <col min="11527" max="11527" width="9.33203125" style="1359" bestFit="1" customWidth="1"/>
    <col min="11528" max="11529" width="8.83203125" style="1359"/>
    <col min="11530" max="11530" width="9.33203125" style="1359" bestFit="1" customWidth="1"/>
    <col min="11531" max="11531" width="4" style="1359" customWidth="1"/>
    <col min="11532" max="11532" width="5.1640625" style="1359" customWidth="1"/>
    <col min="11533" max="11533" width="13.6640625" style="1359" customWidth="1"/>
    <col min="11534" max="11776" width="8.83203125" style="1359"/>
    <col min="11777" max="11777" width="4.83203125" style="1359" customWidth="1"/>
    <col min="11778" max="11778" width="13.1640625" style="1359" customWidth="1"/>
    <col min="11779" max="11779" width="15.6640625" style="1359" customWidth="1"/>
    <col min="11780" max="11780" width="9.33203125" style="1359" bestFit="1" customWidth="1"/>
    <col min="11781" max="11781" width="13.5" style="1359" customWidth="1"/>
    <col min="11782" max="11782" width="8.83203125" style="1359"/>
    <col min="11783" max="11783" width="9.33203125" style="1359" bestFit="1" customWidth="1"/>
    <col min="11784" max="11785" width="8.83203125" style="1359"/>
    <col min="11786" max="11786" width="9.33203125" style="1359" bestFit="1" customWidth="1"/>
    <col min="11787" max="11787" width="4" style="1359" customWidth="1"/>
    <col min="11788" max="11788" width="5.1640625" style="1359" customWidth="1"/>
    <col min="11789" max="11789" width="13.6640625" style="1359" customWidth="1"/>
    <col min="11790" max="12032" width="8.83203125" style="1359"/>
    <col min="12033" max="12033" width="4.83203125" style="1359" customWidth="1"/>
    <col min="12034" max="12034" width="13.1640625" style="1359" customWidth="1"/>
    <col min="12035" max="12035" width="15.6640625" style="1359" customWidth="1"/>
    <col min="12036" max="12036" width="9.33203125" style="1359" bestFit="1" customWidth="1"/>
    <col min="12037" max="12037" width="13.5" style="1359" customWidth="1"/>
    <col min="12038" max="12038" width="8.83203125" style="1359"/>
    <col min="12039" max="12039" width="9.33203125" style="1359" bestFit="1" customWidth="1"/>
    <col min="12040" max="12041" width="8.83203125" style="1359"/>
    <col min="12042" max="12042" width="9.33203125" style="1359" bestFit="1" customWidth="1"/>
    <col min="12043" max="12043" width="4" style="1359" customWidth="1"/>
    <col min="12044" max="12044" width="5.1640625" style="1359" customWidth="1"/>
    <col min="12045" max="12045" width="13.6640625" style="1359" customWidth="1"/>
    <col min="12046" max="12288" width="8.83203125" style="1359"/>
    <col min="12289" max="12289" width="4.83203125" style="1359" customWidth="1"/>
    <col min="12290" max="12290" width="13.1640625" style="1359" customWidth="1"/>
    <col min="12291" max="12291" width="15.6640625" style="1359" customWidth="1"/>
    <col min="12292" max="12292" width="9.33203125" style="1359" bestFit="1" customWidth="1"/>
    <col min="12293" max="12293" width="13.5" style="1359" customWidth="1"/>
    <col min="12294" max="12294" width="8.83203125" style="1359"/>
    <col min="12295" max="12295" width="9.33203125" style="1359" bestFit="1" customWidth="1"/>
    <col min="12296" max="12297" width="8.83203125" style="1359"/>
    <col min="12298" max="12298" width="9.33203125" style="1359" bestFit="1" customWidth="1"/>
    <col min="12299" max="12299" width="4" style="1359" customWidth="1"/>
    <col min="12300" max="12300" width="5.1640625" style="1359" customWidth="1"/>
    <col min="12301" max="12301" width="13.6640625" style="1359" customWidth="1"/>
    <col min="12302" max="12544" width="8.83203125" style="1359"/>
    <col min="12545" max="12545" width="4.83203125" style="1359" customWidth="1"/>
    <col min="12546" max="12546" width="13.1640625" style="1359" customWidth="1"/>
    <col min="12547" max="12547" width="15.6640625" style="1359" customWidth="1"/>
    <col min="12548" max="12548" width="9.33203125" style="1359" bestFit="1" customWidth="1"/>
    <col min="12549" max="12549" width="13.5" style="1359" customWidth="1"/>
    <col min="12550" max="12550" width="8.83203125" style="1359"/>
    <col min="12551" max="12551" width="9.33203125" style="1359" bestFit="1" customWidth="1"/>
    <col min="12552" max="12553" width="8.83203125" style="1359"/>
    <col min="12554" max="12554" width="9.33203125" style="1359" bestFit="1" customWidth="1"/>
    <col min="12555" max="12555" width="4" style="1359" customWidth="1"/>
    <col min="12556" max="12556" width="5.1640625" style="1359" customWidth="1"/>
    <col min="12557" max="12557" width="13.6640625" style="1359" customWidth="1"/>
    <col min="12558" max="12800" width="8.83203125" style="1359"/>
    <col min="12801" max="12801" width="4.83203125" style="1359" customWidth="1"/>
    <col min="12802" max="12802" width="13.1640625" style="1359" customWidth="1"/>
    <col min="12803" max="12803" width="15.6640625" style="1359" customWidth="1"/>
    <col min="12804" max="12804" width="9.33203125" style="1359" bestFit="1" customWidth="1"/>
    <col min="12805" max="12805" width="13.5" style="1359" customWidth="1"/>
    <col min="12806" max="12806" width="8.83203125" style="1359"/>
    <col min="12807" max="12807" width="9.33203125" style="1359" bestFit="1" customWidth="1"/>
    <col min="12808" max="12809" width="8.83203125" style="1359"/>
    <col min="12810" max="12810" width="9.33203125" style="1359" bestFit="1" customWidth="1"/>
    <col min="12811" max="12811" width="4" style="1359" customWidth="1"/>
    <col min="12812" max="12812" width="5.1640625" style="1359" customWidth="1"/>
    <col min="12813" max="12813" width="13.6640625" style="1359" customWidth="1"/>
    <col min="12814" max="13056" width="8.83203125" style="1359"/>
    <col min="13057" max="13057" width="4.83203125" style="1359" customWidth="1"/>
    <col min="13058" max="13058" width="13.1640625" style="1359" customWidth="1"/>
    <col min="13059" max="13059" width="15.6640625" style="1359" customWidth="1"/>
    <col min="13060" max="13060" width="9.33203125" style="1359" bestFit="1" customWidth="1"/>
    <col min="13061" max="13061" width="13.5" style="1359" customWidth="1"/>
    <col min="13062" max="13062" width="8.83203125" style="1359"/>
    <col min="13063" max="13063" width="9.33203125" style="1359" bestFit="1" customWidth="1"/>
    <col min="13064" max="13065" width="8.83203125" style="1359"/>
    <col min="13066" max="13066" width="9.33203125" style="1359" bestFit="1" customWidth="1"/>
    <col min="13067" max="13067" width="4" style="1359" customWidth="1"/>
    <col min="13068" max="13068" width="5.1640625" style="1359" customWidth="1"/>
    <col min="13069" max="13069" width="13.6640625" style="1359" customWidth="1"/>
    <col min="13070" max="13312" width="8.83203125" style="1359"/>
    <col min="13313" max="13313" width="4.83203125" style="1359" customWidth="1"/>
    <col min="13314" max="13314" width="13.1640625" style="1359" customWidth="1"/>
    <col min="13315" max="13315" width="15.6640625" style="1359" customWidth="1"/>
    <col min="13316" max="13316" width="9.33203125" style="1359" bestFit="1" customWidth="1"/>
    <col min="13317" max="13317" width="13.5" style="1359" customWidth="1"/>
    <col min="13318" max="13318" width="8.83203125" style="1359"/>
    <col min="13319" max="13319" width="9.33203125" style="1359" bestFit="1" customWidth="1"/>
    <col min="13320" max="13321" width="8.83203125" style="1359"/>
    <col min="13322" max="13322" width="9.33203125" style="1359" bestFit="1" customWidth="1"/>
    <col min="13323" max="13323" width="4" style="1359" customWidth="1"/>
    <col min="13324" max="13324" width="5.1640625" style="1359" customWidth="1"/>
    <col min="13325" max="13325" width="13.6640625" style="1359" customWidth="1"/>
    <col min="13326" max="13568" width="8.83203125" style="1359"/>
    <col min="13569" max="13569" width="4.83203125" style="1359" customWidth="1"/>
    <col min="13570" max="13570" width="13.1640625" style="1359" customWidth="1"/>
    <col min="13571" max="13571" width="15.6640625" style="1359" customWidth="1"/>
    <col min="13572" max="13572" width="9.33203125" style="1359" bestFit="1" customWidth="1"/>
    <col min="13573" max="13573" width="13.5" style="1359" customWidth="1"/>
    <col min="13574" max="13574" width="8.83203125" style="1359"/>
    <col min="13575" max="13575" width="9.33203125" style="1359" bestFit="1" customWidth="1"/>
    <col min="13576" max="13577" width="8.83203125" style="1359"/>
    <col min="13578" max="13578" width="9.33203125" style="1359" bestFit="1" customWidth="1"/>
    <col min="13579" max="13579" width="4" style="1359" customWidth="1"/>
    <col min="13580" max="13580" width="5.1640625" style="1359" customWidth="1"/>
    <col min="13581" max="13581" width="13.6640625" style="1359" customWidth="1"/>
    <col min="13582" max="13824" width="8.83203125" style="1359"/>
    <col min="13825" max="13825" width="4.83203125" style="1359" customWidth="1"/>
    <col min="13826" max="13826" width="13.1640625" style="1359" customWidth="1"/>
    <col min="13827" max="13827" width="15.6640625" style="1359" customWidth="1"/>
    <col min="13828" max="13828" width="9.33203125" style="1359" bestFit="1" customWidth="1"/>
    <col min="13829" max="13829" width="13.5" style="1359" customWidth="1"/>
    <col min="13830" max="13830" width="8.83203125" style="1359"/>
    <col min="13831" max="13831" width="9.33203125" style="1359" bestFit="1" customWidth="1"/>
    <col min="13832" max="13833" width="8.83203125" style="1359"/>
    <col min="13834" max="13834" width="9.33203125" style="1359" bestFit="1" customWidth="1"/>
    <col min="13835" max="13835" width="4" style="1359" customWidth="1"/>
    <col min="13836" max="13836" width="5.1640625" style="1359" customWidth="1"/>
    <col min="13837" max="13837" width="13.6640625" style="1359" customWidth="1"/>
    <col min="13838" max="14080" width="8.83203125" style="1359"/>
    <col min="14081" max="14081" width="4.83203125" style="1359" customWidth="1"/>
    <col min="14082" max="14082" width="13.1640625" style="1359" customWidth="1"/>
    <col min="14083" max="14083" width="15.6640625" style="1359" customWidth="1"/>
    <col min="14084" max="14084" width="9.33203125" style="1359" bestFit="1" customWidth="1"/>
    <col min="14085" max="14085" width="13.5" style="1359" customWidth="1"/>
    <col min="14086" max="14086" width="8.83203125" style="1359"/>
    <col min="14087" max="14087" width="9.33203125" style="1359" bestFit="1" customWidth="1"/>
    <col min="14088" max="14089" width="8.83203125" style="1359"/>
    <col min="14090" max="14090" width="9.33203125" style="1359" bestFit="1" customWidth="1"/>
    <col min="14091" max="14091" width="4" style="1359" customWidth="1"/>
    <col min="14092" max="14092" width="5.1640625" style="1359" customWidth="1"/>
    <col min="14093" max="14093" width="13.6640625" style="1359" customWidth="1"/>
    <col min="14094" max="14336" width="8.83203125" style="1359"/>
    <col min="14337" max="14337" width="4.83203125" style="1359" customWidth="1"/>
    <col min="14338" max="14338" width="13.1640625" style="1359" customWidth="1"/>
    <col min="14339" max="14339" width="15.6640625" style="1359" customWidth="1"/>
    <col min="14340" max="14340" width="9.33203125" style="1359" bestFit="1" customWidth="1"/>
    <col min="14341" max="14341" width="13.5" style="1359" customWidth="1"/>
    <col min="14342" max="14342" width="8.83203125" style="1359"/>
    <col min="14343" max="14343" width="9.33203125" style="1359" bestFit="1" customWidth="1"/>
    <col min="14344" max="14345" width="8.83203125" style="1359"/>
    <col min="14346" max="14346" width="9.33203125" style="1359" bestFit="1" customWidth="1"/>
    <col min="14347" max="14347" width="4" style="1359" customWidth="1"/>
    <col min="14348" max="14348" width="5.1640625" style="1359" customWidth="1"/>
    <col min="14349" max="14349" width="13.6640625" style="1359" customWidth="1"/>
    <col min="14350" max="14592" width="8.83203125" style="1359"/>
    <col min="14593" max="14593" width="4.83203125" style="1359" customWidth="1"/>
    <col min="14594" max="14594" width="13.1640625" style="1359" customWidth="1"/>
    <col min="14595" max="14595" width="15.6640625" style="1359" customWidth="1"/>
    <col min="14596" max="14596" width="9.33203125" style="1359" bestFit="1" customWidth="1"/>
    <col min="14597" max="14597" width="13.5" style="1359" customWidth="1"/>
    <col min="14598" max="14598" width="8.83203125" style="1359"/>
    <col min="14599" max="14599" width="9.33203125" style="1359" bestFit="1" customWidth="1"/>
    <col min="14600" max="14601" width="8.83203125" style="1359"/>
    <col min="14602" max="14602" width="9.33203125" style="1359" bestFit="1" customWidth="1"/>
    <col min="14603" max="14603" width="4" style="1359" customWidth="1"/>
    <col min="14604" max="14604" width="5.1640625" style="1359" customWidth="1"/>
    <col min="14605" max="14605" width="13.6640625" style="1359" customWidth="1"/>
    <col min="14606" max="14848" width="8.83203125" style="1359"/>
    <col min="14849" max="14849" width="4.83203125" style="1359" customWidth="1"/>
    <col min="14850" max="14850" width="13.1640625" style="1359" customWidth="1"/>
    <col min="14851" max="14851" width="15.6640625" style="1359" customWidth="1"/>
    <col min="14852" max="14852" width="9.33203125" style="1359" bestFit="1" customWidth="1"/>
    <col min="14853" max="14853" width="13.5" style="1359" customWidth="1"/>
    <col min="14854" max="14854" width="8.83203125" style="1359"/>
    <col min="14855" max="14855" width="9.33203125" style="1359" bestFit="1" customWidth="1"/>
    <col min="14856" max="14857" width="8.83203125" style="1359"/>
    <col min="14858" max="14858" width="9.33203125" style="1359" bestFit="1" customWidth="1"/>
    <col min="14859" max="14859" width="4" style="1359" customWidth="1"/>
    <col min="14860" max="14860" width="5.1640625" style="1359" customWidth="1"/>
    <col min="14861" max="14861" width="13.6640625" style="1359" customWidth="1"/>
    <col min="14862" max="15104" width="8.83203125" style="1359"/>
    <col min="15105" max="15105" width="4.83203125" style="1359" customWidth="1"/>
    <col min="15106" max="15106" width="13.1640625" style="1359" customWidth="1"/>
    <col min="15107" max="15107" width="15.6640625" style="1359" customWidth="1"/>
    <col min="15108" max="15108" width="9.33203125" style="1359" bestFit="1" customWidth="1"/>
    <col min="15109" max="15109" width="13.5" style="1359" customWidth="1"/>
    <col min="15110" max="15110" width="8.83203125" style="1359"/>
    <col min="15111" max="15111" width="9.33203125" style="1359" bestFit="1" customWidth="1"/>
    <col min="15112" max="15113" width="8.83203125" style="1359"/>
    <col min="15114" max="15114" width="9.33203125" style="1359" bestFit="1" customWidth="1"/>
    <col min="15115" max="15115" width="4" style="1359" customWidth="1"/>
    <col min="15116" max="15116" width="5.1640625" style="1359" customWidth="1"/>
    <col min="15117" max="15117" width="13.6640625" style="1359" customWidth="1"/>
    <col min="15118" max="15360" width="8.83203125" style="1359"/>
    <col min="15361" max="15361" width="4.83203125" style="1359" customWidth="1"/>
    <col min="15362" max="15362" width="13.1640625" style="1359" customWidth="1"/>
    <col min="15363" max="15363" width="15.6640625" style="1359" customWidth="1"/>
    <col min="15364" max="15364" width="9.33203125" style="1359" bestFit="1" customWidth="1"/>
    <col min="15365" max="15365" width="13.5" style="1359" customWidth="1"/>
    <col min="15366" max="15366" width="8.83203125" style="1359"/>
    <col min="15367" max="15367" width="9.33203125" style="1359" bestFit="1" customWidth="1"/>
    <col min="15368" max="15369" width="8.83203125" style="1359"/>
    <col min="15370" max="15370" width="9.33203125" style="1359" bestFit="1" customWidth="1"/>
    <col min="15371" max="15371" width="4" style="1359" customWidth="1"/>
    <col min="15372" max="15372" width="5.1640625" style="1359" customWidth="1"/>
    <col min="15373" max="15373" width="13.6640625" style="1359" customWidth="1"/>
    <col min="15374" max="15616" width="8.83203125" style="1359"/>
    <col min="15617" max="15617" width="4.83203125" style="1359" customWidth="1"/>
    <col min="15618" max="15618" width="13.1640625" style="1359" customWidth="1"/>
    <col min="15619" max="15619" width="15.6640625" style="1359" customWidth="1"/>
    <col min="15620" max="15620" width="9.33203125" style="1359" bestFit="1" customWidth="1"/>
    <col min="15621" max="15621" width="13.5" style="1359" customWidth="1"/>
    <col min="15622" max="15622" width="8.83203125" style="1359"/>
    <col min="15623" max="15623" width="9.33203125" style="1359" bestFit="1" customWidth="1"/>
    <col min="15624" max="15625" width="8.83203125" style="1359"/>
    <col min="15626" max="15626" width="9.33203125" style="1359" bestFit="1" customWidth="1"/>
    <col min="15627" max="15627" width="4" style="1359" customWidth="1"/>
    <col min="15628" max="15628" width="5.1640625" style="1359" customWidth="1"/>
    <col min="15629" max="15629" width="13.6640625" style="1359" customWidth="1"/>
    <col min="15630" max="15872" width="8.83203125" style="1359"/>
    <col min="15873" max="15873" width="4.83203125" style="1359" customWidth="1"/>
    <col min="15874" max="15874" width="13.1640625" style="1359" customWidth="1"/>
    <col min="15875" max="15875" width="15.6640625" style="1359" customWidth="1"/>
    <col min="15876" max="15876" width="9.33203125" style="1359" bestFit="1" customWidth="1"/>
    <col min="15877" max="15877" width="13.5" style="1359" customWidth="1"/>
    <col min="15878" max="15878" width="8.83203125" style="1359"/>
    <col min="15879" max="15879" width="9.33203125" style="1359" bestFit="1" customWidth="1"/>
    <col min="15880" max="15881" width="8.83203125" style="1359"/>
    <col min="15882" max="15882" width="9.33203125" style="1359" bestFit="1" customWidth="1"/>
    <col min="15883" max="15883" width="4" style="1359" customWidth="1"/>
    <col min="15884" max="15884" width="5.1640625" style="1359" customWidth="1"/>
    <col min="15885" max="15885" width="13.6640625" style="1359" customWidth="1"/>
    <col min="15886" max="16128" width="8.83203125" style="1359"/>
    <col min="16129" max="16129" width="4.83203125" style="1359" customWidth="1"/>
    <col min="16130" max="16130" width="13.1640625" style="1359" customWidth="1"/>
    <col min="16131" max="16131" width="15.6640625" style="1359" customWidth="1"/>
    <col min="16132" max="16132" width="9.33203125" style="1359" bestFit="1" customWidth="1"/>
    <col min="16133" max="16133" width="13.5" style="1359" customWidth="1"/>
    <col min="16134" max="16134" width="8.83203125" style="1359"/>
    <col min="16135" max="16135" width="9.33203125" style="1359" bestFit="1" customWidth="1"/>
    <col min="16136" max="16137" width="8.83203125" style="1359"/>
    <col min="16138" max="16138" width="9.33203125" style="1359" bestFit="1" customWidth="1"/>
    <col min="16139" max="16139" width="4" style="1359" customWidth="1"/>
    <col min="16140" max="16140" width="5.1640625" style="1359" customWidth="1"/>
    <col min="16141" max="16141" width="13.6640625" style="1359" customWidth="1"/>
    <col min="16142" max="16384" width="8.83203125" style="1359"/>
  </cols>
  <sheetData>
    <row r="1" spans="1:257" s="1421" customFormat="1" ht="16" thickBot="1" x14ac:dyDescent="0.25">
      <c r="A1" s="1415"/>
      <c r="B1" s="1422" t="s">
        <v>1027</v>
      </c>
      <c r="C1" s="1416">
        <f>项目基本情况!D3</f>
        <v>44868</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7" thickTop="1" thickBot="1" x14ac:dyDescent="0.25">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x14ac:dyDescent="0.2">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x14ac:dyDescent="0.2">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x14ac:dyDescent="0.2">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x14ac:dyDescent="0.2">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6" thickBot="1" x14ac:dyDescent="0.25">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x14ac:dyDescent="0.2">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 x14ac:dyDescent="0.2">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4" x14ac:dyDescent="0.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x14ac:dyDescent="0.2">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x14ac:dyDescent="0.2">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6" x14ac:dyDescent="0.2">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x14ac:dyDescent="0.2">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x14ac:dyDescent="0.2">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x14ac:dyDescent="0.2">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x14ac:dyDescent="0.2">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7" x14ac:dyDescent="0.2">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x14ac:dyDescent="0.2">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x14ac:dyDescent="0.2">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x14ac:dyDescent="0.2">
      <c r="A21" s="1404"/>
      <c r="B21" s="2996" t="s">
        <v>2815</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x14ac:dyDescent="0.2">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x14ac:dyDescent="0.2">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x14ac:dyDescent="0.2">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x14ac:dyDescent="0.2">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x14ac:dyDescent="0.2">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x14ac:dyDescent="0.2">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x14ac:dyDescent="0.2">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x14ac:dyDescent="0.2">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x14ac:dyDescent="0.2">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x14ac:dyDescent="0.2">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x14ac:dyDescent="0.2">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x14ac:dyDescent="0.2">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x14ac:dyDescent="0.2">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x14ac:dyDescent="0.2">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x14ac:dyDescent="0.2">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x14ac:dyDescent="0.2">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x14ac:dyDescent="0.2">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x14ac:dyDescent="0.2">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x14ac:dyDescent="0.2">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x14ac:dyDescent="0.2">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x14ac:dyDescent="0.2">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x14ac:dyDescent="0.2">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x14ac:dyDescent="0.2">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x14ac:dyDescent="0.2">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x14ac:dyDescent="0.2">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x14ac:dyDescent="0.2">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x14ac:dyDescent="0.2">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x14ac:dyDescent="0.2">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x14ac:dyDescent="0.2">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x14ac:dyDescent="0.2">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x14ac:dyDescent="0.2">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x14ac:dyDescent="0.2">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x14ac:dyDescent="0.2">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x14ac:dyDescent="0.2">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x14ac:dyDescent="0.2">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x14ac:dyDescent="0.2">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x14ac:dyDescent="0.2">
      <c r="B58" s="1410"/>
      <c r="C58" s="1411">
        <v>35186</v>
      </c>
      <c r="D58" s="1410">
        <v>9.7200000000000006</v>
      </c>
      <c r="E58" s="1410">
        <v>10.98</v>
      </c>
      <c r="F58" s="1410">
        <v>13.14</v>
      </c>
      <c r="G58" s="1410">
        <v>14.94</v>
      </c>
      <c r="H58" s="1410">
        <v>15.12</v>
      </c>
      <c r="I58" s="1410">
        <v>0</v>
      </c>
      <c r="J58" s="1410">
        <v>0</v>
      </c>
    </row>
    <row r="59" spans="2:26" x14ac:dyDescent="0.2">
      <c r="B59" s="1410"/>
      <c r="C59" s="1411">
        <v>34881</v>
      </c>
      <c r="D59" s="1410">
        <v>10.08</v>
      </c>
      <c r="E59" s="1410">
        <v>12.06</v>
      </c>
      <c r="F59" s="1410">
        <v>13.5</v>
      </c>
      <c r="G59" s="1410">
        <v>15.12</v>
      </c>
      <c r="H59" s="1410">
        <v>15.3</v>
      </c>
      <c r="I59" s="1410">
        <v>0</v>
      </c>
      <c r="J59" s="1410">
        <v>0</v>
      </c>
    </row>
    <row r="60" spans="2:26" x14ac:dyDescent="0.2">
      <c r="B60" s="1410"/>
      <c r="C60" s="1411">
        <v>34700</v>
      </c>
      <c r="D60" s="1410">
        <v>9</v>
      </c>
      <c r="E60" s="1410">
        <v>10.98</v>
      </c>
      <c r="F60" s="1410">
        <v>12.96</v>
      </c>
      <c r="G60" s="1410">
        <v>14.58</v>
      </c>
      <c r="H60" s="1410">
        <v>14.76</v>
      </c>
      <c r="I60" s="1410">
        <v>0</v>
      </c>
      <c r="J60" s="1410">
        <v>0</v>
      </c>
    </row>
    <row r="61" spans="2:26" x14ac:dyDescent="0.2">
      <c r="B61" s="1410"/>
      <c r="C61" s="1411">
        <v>34161</v>
      </c>
      <c r="D61" s="1410">
        <v>9</v>
      </c>
      <c r="E61" s="1410">
        <v>10.98</v>
      </c>
      <c r="F61" s="1410">
        <v>12.24</v>
      </c>
      <c r="G61" s="1410">
        <v>13.86</v>
      </c>
      <c r="H61" s="1410">
        <v>14.04</v>
      </c>
      <c r="I61" s="1410">
        <v>0</v>
      </c>
      <c r="J61" s="1410">
        <v>0</v>
      </c>
    </row>
    <row r="62" spans="2:26" x14ac:dyDescent="0.2">
      <c r="B62" s="1410"/>
      <c r="C62" s="1411">
        <v>34104</v>
      </c>
      <c r="D62" s="1410">
        <v>8.82</v>
      </c>
      <c r="E62" s="1410">
        <v>9.36</v>
      </c>
      <c r="F62" s="1410">
        <v>10.8</v>
      </c>
      <c r="G62" s="1410">
        <v>12.06</v>
      </c>
      <c r="H62" s="1410">
        <v>12.24</v>
      </c>
      <c r="I62" s="1410">
        <v>0</v>
      </c>
      <c r="J62" s="1410">
        <v>0</v>
      </c>
    </row>
    <row r="63" spans="2:26" x14ac:dyDescent="0.2">
      <c r="B63" s="1410"/>
      <c r="C63" s="1411">
        <v>33349</v>
      </c>
      <c r="D63" s="1410">
        <v>8.1</v>
      </c>
      <c r="E63" s="1410">
        <v>8.64</v>
      </c>
      <c r="F63" s="1410">
        <v>9</v>
      </c>
      <c r="G63" s="1410">
        <v>9.5399999999999991</v>
      </c>
      <c r="H63" s="1410">
        <v>9.7200000000000006</v>
      </c>
      <c r="I63" s="1410">
        <v>0</v>
      </c>
      <c r="J63" s="1410">
        <v>0</v>
      </c>
    </row>
    <row r="64" spans="2:26" x14ac:dyDescent="0.2">
      <c r="B64" s="1410"/>
      <c r="C64" s="1411">
        <v>33318</v>
      </c>
      <c r="D64" s="1410">
        <v>9</v>
      </c>
      <c r="E64" s="1410">
        <v>10.08</v>
      </c>
      <c r="F64" s="1410">
        <v>10.8</v>
      </c>
      <c r="G64" s="1410">
        <v>11.52</v>
      </c>
      <c r="H64" s="1410">
        <v>11.88</v>
      </c>
      <c r="I64" s="1410" t="s">
        <v>1058</v>
      </c>
      <c r="J64" s="1410" t="s">
        <v>1058</v>
      </c>
    </row>
    <row r="65" spans="2:10" x14ac:dyDescent="0.2">
      <c r="B65" s="1410"/>
      <c r="C65" s="1411">
        <v>33106</v>
      </c>
      <c r="D65" s="1410">
        <v>8.64</v>
      </c>
      <c r="E65" s="1410">
        <v>9.36</v>
      </c>
      <c r="F65" s="1410">
        <v>10.08</v>
      </c>
      <c r="G65" s="1410">
        <v>10.8</v>
      </c>
      <c r="H65" s="1410">
        <v>11.16</v>
      </c>
      <c r="I65" s="1410">
        <v>0</v>
      </c>
      <c r="J65" s="1410">
        <v>0</v>
      </c>
    </row>
    <row r="66" spans="2:10" x14ac:dyDescent="0.2">
      <c r="B66" s="1410"/>
      <c r="C66" s="1411">
        <v>32540</v>
      </c>
      <c r="D66" s="1410">
        <v>11.34</v>
      </c>
      <c r="E66" s="1410">
        <v>11.34</v>
      </c>
      <c r="F66" s="1410">
        <v>12.78</v>
      </c>
      <c r="G66" s="1410">
        <v>14.4</v>
      </c>
      <c r="H66" s="1410">
        <v>19.260000000000002</v>
      </c>
      <c r="I66" s="1410">
        <v>0</v>
      </c>
      <c r="J66" s="1410">
        <v>0</v>
      </c>
    </row>
    <row r="67" spans="2:10" x14ac:dyDescent="0.2">
      <c r="B67" s="1410"/>
      <c r="C67" s="1411"/>
      <c r="D67" s="1410"/>
      <c r="E67" s="1410"/>
      <c r="F67" s="1410"/>
      <c r="G67" s="1410"/>
      <c r="H67" s="1410"/>
      <c r="I67" s="1410"/>
      <c r="J67" s="1410"/>
    </row>
    <row r="68" spans="2:10" x14ac:dyDescent="0.2">
      <c r="B68" s="1413"/>
      <c r="C68" s="1414"/>
      <c r="D68" s="1413"/>
      <c r="E68" s="1413"/>
      <c r="F68" s="1413"/>
      <c r="G68" s="1413"/>
      <c r="H68" s="1413"/>
      <c r="I68" s="1413"/>
      <c r="J68" s="1413"/>
    </row>
    <row r="69" spans="2:10" x14ac:dyDescent="0.2">
      <c r="B69" s="1413"/>
      <c r="C69" s="1414"/>
      <c r="D69" s="1413"/>
      <c r="E69" s="1413"/>
      <c r="F69" s="1413"/>
      <c r="G69" s="1413"/>
      <c r="H69" s="1413"/>
      <c r="I69" s="1413"/>
      <c r="J69" s="1413"/>
    </row>
    <row r="70" spans="2:10" x14ac:dyDescent="0.2">
      <c r="B70" s="1413"/>
      <c r="C70" s="1414"/>
      <c r="D70" s="1413"/>
      <c r="E70" s="1413"/>
      <c r="F70" s="1413"/>
      <c r="G70" s="1413"/>
      <c r="H70" s="1413"/>
      <c r="I70" s="1413"/>
      <c r="J70" s="1413"/>
    </row>
    <row r="71" spans="2:10" x14ac:dyDescent="0.2">
      <c r="B71" s="1362"/>
      <c r="C71" s="1362"/>
      <c r="D71" s="1362"/>
      <c r="E71" s="1362"/>
      <c r="F71" s="1362"/>
      <c r="G71" s="1362"/>
      <c r="H71" s="1362"/>
      <c r="I71" s="1362"/>
      <c r="J71" s="1362"/>
    </row>
    <row r="72" spans="2:10" x14ac:dyDescent="0.2">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baseColWidth="10" defaultColWidth="8.83203125" defaultRowHeight="15" x14ac:dyDescent="0.2"/>
  <sheetData>
    <row r="1" spans="1:13" ht="28" x14ac:dyDescent="0.2">
      <c r="A1" s="1468" t="s">
        <v>1097</v>
      </c>
      <c r="E1" s="1462" t="s">
        <v>1101</v>
      </c>
      <c r="F1" s="1463" t="s">
        <v>1105</v>
      </c>
    </row>
    <row r="2" spans="1:13" ht="22" x14ac:dyDescent="0.2">
      <c r="A2" s="1469" t="s">
        <v>1098</v>
      </c>
    </row>
    <row r="3" spans="1:13" ht="17" x14ac:dyDescent="0.2">
      <c r="A3" s="1470" t="s">
        <v>1099</v>
      </c>
    </row>
    <row r="4" spans="1:13" x14ac:dyDescent="0.2">
      <c r="A4" s="1460" t="s">
        <v>1100</v>
      </c>
      <c r="B4" s="1465" t="s">
        <v>1102</v>
      </c>
      <c r="C4" s="1466"/>
      <c r="D4" s="1467"/>
      <c r="E4" s="1465" t="s">
        <v>27</v>
      </c>
      <c r="F4" s="1466"/>
      <c r="G4" s="1467"/>
      <c r="H4" s="1465" t="s">
        <v>1103</v>
      </c>
      <c r="I4" s="1466"/>
      <c r="J4" s="1467"/>
      <c r="K4" s="1465" t="s">
        <v>6</v>
      </c>
      <c r="L4" s="1466"/>
      <c r="M4" s="1467"/>
    </row>
    <row r="5" spans="1:13" x14ac:dyDescent="0.2">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x14ac:dyDescent="0.2">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x14ac:dyDescent="0.2">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x14ac:dyDescent="0.2">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x14ac:dyDescent="0.2">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x14ac:dyDescent="0.2">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x14ac:dyDescent="0.2">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x14ac:dyDescent="0.2">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x14ac:dyDescent="0.2">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x14ac:dyDescent="0.2">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x14ac:dyDescent="0.2">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x14ac:dyDescent="0.2">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x14ac:dyDescent="0.2">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baseColWidth="10" defaultColWidth="9" defaultRowHeight="14" x14ac:dyDescent="0.2"/>
  <cols>
    <col min="1" max="1" width="16.6640625" style="1612" customWidth="1"/>
    <col min="2" max="3" width="22.33203125" style="1612" customWidth="1"/>
    <col min="4" max="4" width="23" style="1612" customWidth="1"/>
    <col min="5" max="16384" width="9" style="1612"/>
  </cols>
  <sheetData>
    <row r="1" spans="1:4" ht="18" x14ac:dyDescent="0.2">
      <c r="A1" s="3402" t="s">
        <v>1386</v>
      </c>
      <c r="B1" s="3402"/>
      <c r="C1" s="3402"/>
      <c r="D1" s="3402"/>
    </row>
    <row r="2" spans="1:4" ht="18" x14ac:dyDescent="0.2">
      <c r="A2" s="3403" t="s">
        <v>1370</v>
      </c>
      <c r="B2" s="3403"/>
      <c r="C2" s="3403"/>
      <c r="D2" s="3403"/>
    </row>
    <row r="3" spans="1:4" ht="17" x14ac:dyDescent="0.2">
      <c r="A3" s="1644" t="s">
        <v>1371</v>
      </c>
      <c r="B3" s="1644" t="s">
        <v>1372</v>
      </c>
      <c r="C3" s="1644" t="s">
        <v>1373</v>
      </c>
      <c r="D3" s="1644" t="s">
        <v>1374</v>
      </c>
    </row>
    <row r="4" spans="1:4" ht="56.25" customHeight="1" x14ac:dyDescent="0.2">
      <c r="A4" s="1645" t="str">
        <f>项目基本情况!B4</f>
        <v>梁津</v>
      </c>
      <c r="B4" s="1646">
        <f ca="1">项目基本情况!C4</f>
        <v>0</v>
      </c>
      <c r="C4" s="1647"/>
      <c r="D4" s="1648" t="s">
        <v>1375</v>
      </c>
    </row>
    <row r="5" spans="1:4" ht="56.25" customHeight="1" x14ac:dyDescent="0.2">
      <c r="A5" s="1645" t="str">
        <f>项目基本情况!D4</f>
        <v>陈颖</v>
      </c>
      <c r="B5" s="1646">
        <f ca="1">项目基本情况!E4</f>
        <v>1120060040</v>
      </c>
      <c r="C5" s="1649"/>
      <c r="D5" s="1648" t="s">
        <v>1375</v>
      </c>
    </row>
    <row r="6" spans="1:4" ht="18" x14ac:dyDescent="0.2">
      <c r="A6" s="3403" t="s">
        <v>1376</v>
      </c>
      <c r="B6" s="3403"/>
      <c r="C6" s="3403"/>
      <c r="D6" s="3403"/>
    </row>
    <row r="7" spans="1:4" ht="17" x14ac:dyDescent="0.2">
      <c r="A7" s="1644" t="s">
        <v>1371</v>
      </c>
      <c r="B7" s="1646" t="s">
        <v>1377</v>
      </c>
      <c r="C7" s="1644" t="s">
        <v>1373</v>
      </c>
      <c r="D7" s="1644" t="s">
        <v>1374</v>
      </c>
    </row>
    <row r="8" spans="1:4" ht="56.25" customHeight="1" x14ac:dyDescent="0.2">
      <c r="A8" s="1650" t="s">
        <v>656</v>
      </c>
      <c r="B8" s="1650" t="s">
        <v>1</v>
      </c>
      <c r="C8" s="1647"/>
      <c r="D8" s="1648" t="s">
        <v>1375</v>
      </c>
    </row>
    <row r="9" spans="1:4" x14ac:dyDescent="0.2">
      <c r="A9" s="683"/>
      <c r="B9" s="683"/>
      <c r="C9" s="683"/>
      <c r="D9" s="683"/>
    </row>
    <row r="10" spans="1:4" ht="18" x14ac:dyDescent="0.2">
      <c r="A10" s="1651" t="s">
        <v>1378</v>
      </c>
      <c r="B10" s="683"/>
      <c r="C10" s="683"/>
      <c r="D10" s="683"/>
    </row>
    <row r="11" spans="1:4" ht="30" customHeight="1" x14ac:dyDescent="0.2">
      <c r="A11" s="3404" t="s">
        <v>1379</v>
      </c>
      <c r="B11" s="3396"/>
      <c r="C11" s="3396"/>
      <c r="D11" s="3396"/>
    </row>
    <row r="12" spans="1:4" ht="16" x14ac:dyDescent="0.2">
      <c r="A12" s="33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1"/>
      <c r="C12" s="3401"/>
      <c r="D12" s="3401"/>
    </row>
    <row r="13" spans="1:4" ht="30" customHeight="1" x14ac:dyDescent="0.2">
      <c r="A13" s="3396" t="str">
        <f>IF(项目基本情况!B8="抵押","3.抵押双方在办理抵押登记手续时，应使用本公司出具的正式《房地产评估报告》，特提醒报告使用者注意。","——")</f>
        <v>——</v>
      </c>
      <c r="B13" s="3401"/>
      <c r="C13" s="3401"/>
      <c r="D13" s="3401"/>
    </row>
    <row r="14" spans="1:4" ht="15.75" customHeight="1" x14ac:dyDescent="0.2">
      <c r="A14" s="3396" t="str">
        <f>IF(项目基本情况!B8="抵押","4.本次评估估价师所知悉的法定优先受偿款情况说明如下：","——")</f>
        <v>——</v>
      </c>
      <c r="B14" s="3401"/>
      <c r="C14" s="3401"/>
      <c r="D14" s="3401"/>
    </row>
    <row r="15" spans="1:4" ht="42" customHeight="1" x14ac:dyDescent="0.2">
      <c r="A15" s="3396" t="str">
        <f>IF(项目基本情况!B8="抵押","（1）"&amp;CONCATENATE(项目基本情况!L20,项目基本情况!L21,项目基本情况!L22),"——")</f>
        <v>——</v>
      </c>
      <c r="B15" s="3396"/>
      <c r="C15" s="3396"/>
      <c r="D15" s="3396"/>
    </row>
    <row r="16" spans="1:4" ht="30" customHeight="1" x14ac:dyDescent="0.2">
      <c r="A16" s="3398" t="s">
        <v>1380</v>
      </c>
      <c r="B16" s="3398"/>
      <c r="C16" s="3398"/>
      <c r="D16" s="3398"/>
    </row>
    <row r="17" spans="1:4" ht="144" customHeight="1" x14ac:dyDescent="0.2">
      <c r="A17" s="3398" t="s">
        <v>1381</v>
      </c>
      <c r="B17" s="3398"/>
      <c r="C17" s="3398"/>
      <c r="D17" s="3398"/>
    </row>
    <row r="18" spans="1:4" ht="15.75" customHeight="1" x14ac:dyDescent="0.2">
      <c r="A18" s="3396" t="str">
        <f>IF(项目基本情况!B8="抵押",'结果表-商业'!K120,"——")</f>
        <v>——</v>
      </c>
      <c r="B18" s="3396"/>
      <c r="C18" s="3396"/>
      <c r="D18" s="3396"/>
    </row>
    <row r="19" spans="1:4" ht="46.5" customHeight="1" x14ac:dyDescent="0.2">
      <c r="A19" s="33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6"/>
      <c r="C19" s="3396"/>
      <c r="D19" s="3396"/>
    </row>
    <row r="20" spans="1:4" ht="57.75" customHeight="1" x14ac:dyDescent="0.2">
      <c r="A20" s="3396"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6"/>
      <c r="C20" s="3396"/>
      <c r="D20" s="3396"/>
    </row>
    <row r="21" spans="1:4" ht="57.75" customHeight="1" x14ac:dyDescent="0.2">
      <c r="A21" s="3399"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9"/>
      <c r="C21" s="3399"/>
      <c r="D21" s="3399"/>
    </row>
    <row r="22" spans="1:4" ht="18.75" customHeight="1" x14ac:dyDescent="0.2">
      <c r="A22" s="3400" t="s">
        <v>1382</v>
      </c>
      <c r="B22" s="3400"/>
      <c r="C22" s="3400"/>
      <c r="D22" s="3400"/>
    </row>
    <row r="23" spans="1:4" x14ac:dyDescent="0.2">
      <c r="A23" s="1652"/>
      <c r="B23" s="1624"/>
      <c r="C23" s="1624"/>
      <c r="D23" s="1624"/>
    </row>
    <row r="24" spans="1:4" x14ac:dyDescent="0.2">
      <c r="A24" s="1652"/>
      <c r="B24" s="1624"/>
      <c r="C24" s="1624"/>
      <c r="D24" s="1624"/>
    </row>
    <row r="25" spans="1:4" ht="18" x14ac:dyDescent="0.2">
      <c r="A25" s="1653" t="s">
        <v>1383</v>
      </c>
    </row>
    <row r="26" spans="1:4" ht="18" x14ac:dyDescent="0.2">
      <c r="A26" s="1622"/>
    </row>
    <row r="27" spans="1:4" ht="18" x14ac:dyDescent="0.2">
      <c r="A27" s="1622" t="s">
        <v>1384</v>
      </c>
    </row>
    <row r="30" spans="1:4" ht="18" x14ac:dyDescent="0.2">
      <c r="D30" s="1653" t="s">
        <v>1385</v>
      </c>
    </row>
    <row r="31" spans="1:4" ht="13.5" customHeight="1" x14ac:dyDescent="0.2">
      <c r="C31" s="3397">
        <v>42551</v>
      </c>
      <c r="D31" s="33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baseColWidth="10" defaultColWidth="9" defaultRowHeight="15" x14ac:dyDescent="0.2"/>
  <cols>
    <col min="1" max="2" width="13.1640625" style="1610" customWidth="1"/>
    <col min="3" max="10" width="12.5" style="1610" customWidth="1"/>
    <col min="11" max="16384" width="9" style="1610"/>
  </cols>
  <sheetData>
    <row r="1" spans="1:10" ht="18" x14ac:dyDescent="0.2">
      <c r="A1" s="1643" t="s">
        <v>657</v>
      </c>
      <c r="B1" s="1654"/>
      <c r="C1" s="1654"/>
      <c r="D1" s="1654"/>
      <c r="E1" s="1654"/>
      <c r="F1" s="1654"/>
      <c r="G1" s="1654"/>
      <c r="H1" s="1654"/>
      <c r="I1" s="1654"/>
      <c r="J1" s="1654"/>
    </row>
    <row r="2" spans="1:10" ht="18" x14ac:dyDescent="0.2">
      <c r="A2" s="1655"/>
      <c r="B2" s="1654"/>
      <c r="C2" s="1654"/>
      <c r="D2" s="1654"/>
      <c r="E2" s="1654"/>
      <c r="F2" s="1654"/>
      <c r="G2" s="1654"/>
      <c r="H2" s="1654"/>
      <c r="I2" s="1654"/>
      <c r="J2" s="1654"/>
    </row>
    <row r="3" spans="1:10" x14ac:dyDescent="0.2">
      <c r="A3" s="1654"/>
      <c r="B3" s="1654"/>
      <c r="C3" s="1654"/>
      <c r="D3" s="1654"/>
      <c r="E3" s="1654"/>
      <c r="F3" s="1654"/>
      <c r="G3" s="1654"/>
      <c r="H3" s="1654"/>
      <c r="I3" s="1654"/>
      <c r="J3" s="1654"/>
    </row>
    <row r="4" spans="1:10" x14ac:dyDescent="0.2">
      <c r="A4" s="1654"/>
      <c r="B4" s="1654"/>
      <c r="C4" s="1654"/>
      <c r="D4" s="1654"/>
      <c r="E4" s="1654"/>
      <c r="F4" s="1654"/>
      <c r="G4" s="1654"/>
      <c r="H4" s="1654"/>
      <c r="I4" s="1654"/>
      <c r="J4" s="1654"/>
    </row>
    <row r="5" spans="1:10" x14ac:dyDescent="0.2">
      <c r="A5" s="1654"/>
      <c r="B5" s="1654"/>
      <c r="C5" s="1654"/>
      <c r="D5" s="1654"/>
      <c r="E5" s="1654"/>
      <c r="F5" s="1654"/>
      <c r="G5" s="1654"/>
      <c r="H5" s="1654"/>
      <c r="I5" s="1654"/>
      <c r="J5" s="1654"/>
    </row>
    <row r="6" spans="1:10" x14ac:dyDescent="0.2">
      <c r="A6" s="1654"/>
      <c r="B6" s="1654"/>
      <c r="C6" s="1654"/>
      <c r="D6" s="1654"/>
      <c r="E6" s="1654"/>
      <c r="F6" s="1654"/>
      <c r="G6" s="1654"/>
      <c r="H6" s="1654"/>
      <c r="I6" s="1654"/>
      <c r="J6" s="1654"/>
    </row>
    <row r="7" spans="1:10" x14ac:dyDescent="0.2">
      <c r="A7" s="1654"/>
      <c r="B7" s="1654"/>
      <c r="C7" s="1654"/>
      <c r="D7" s="1654"/>
      <c r="E7" s="1654"/>
      <c r="F7" s="1654"/>
      <c r="G7" s="1654"/>
      <c r="H7" s="1654"/>
      <c r="I7" s="1654"/>
      <c r="J7" s="1654"/>
    </row>
    <row r="8" spans="1:10" x14ac:dyDescent="0.2">
      <c r="A8" s="1654"/>
      <c r="B8" s="1654"/>
      <c r="C8" s="1654"/>
      <c r="D8" s="1654"/>
      <c r="E8" s="1654"/>
      <c r="F8" s="1654"/>
      <c r="G8" s="1654"/>
      <c r="H8" s="1654"/>
      <c r="I8" s="1654"/>
      <c r="J8" s="1654"/>
    </row>
    <row r="9" spans="1:10" x14ac:dyDescent="0.2">
      <c r="A9" s="1654"/>
      <c r="B9" s="1654"/>
      <c r="C9" s="1654"/>
      <c r="D9" s="1654"/>
      <c r="E9" s="1654"/>
      <c r="F9" s="1654"/>
      <c r="G9" s="1654"/>
      <c r="H9" s="1654"/>
      <c r="I9" s="1654"/>
      <c r="J9" s="1654"/>
    </row>
    <row r="10" spans="1:10" x14ac:dyDescent="0.2">
      <c r="A10" s="1654"/>
      <c r="B10" s="1654"/>
      <c r="C10" s="1654"/>
      <c r="D10" s="1654"/>
      <c r="E10" s="1654"/>
      <c r="F10" s="1654"/>
      <c r="G10" s="1654"/>
      <c r="H10" s="1654"/>
      <c r="I10" s="1654"/>
      <c r="J10" s="1654"/>
    </row>
    <row r="11" spans="1:10" x14ac:dyDescent="0.2">
      <c r="A11" s="1654"/>
      <c r="B11" s="1654"/>
      <c r="C11" s="1654"/>
      <c r="D11" s="1654"/>
      <c r="E11" s="1654"/>
      <c r="F11" s="1654"/>
      <c r="G11" s="1654"/>
      <c r="H11" s="1654"/>
      <c r="I11" s="1654"/>
      <c r="J11" s="1654"/>
    </row>
    <row r="12" spans="1:10" x14ac:dyDescent="0.2">
      <c r="A12" s="1654"/>
      <c r="B12" s="1654"/>
      <c r="C12" s="1654"/>
      <c r="D12" s="1654"/>
      <c r="E12" s="1654"/>
      <c r="F12" s="1654"/>
      <c r="G12" s="1654"/>
      <c r="H12" s="1654"/>
      <c r="I12" s="1654"/>
      <c r="J12" s="1654"/>
    </row>
    <row r="13" spans="1:10" x14ac:dyDescent="0.2">
      <c r="A13" s="1654"/>
      <c r="B13" s="1654"/>
      <c r="C13" s="1654"/>
      <c r="D13" s="1654"/>
      <c r="E13" s="1654"/>
      <c r="F13" s="1654"/>
      <c r="G13" s="1654"/>
      <c r="H13" s="1654"/>
      <c r="I13" s="1654"/>
      <c r="J13" s="1654"/>
    </row>
    <row r="14" spans="1:10" x14ac:dyDescent="0.2">
      <c r="A14" s="1654"/>
      <c r="B14" s="1654"/>
      <c r="C14" s="1654"/>
      <c r="D14" s="1654"/>
      <c r="E14" s="1654"/>
      <c r="F14" s="1654"/>
      <c r="G14" s="1654"/>
      <c r="H14" s="1654"/>
      <c r="I14" s="1654"/>
      <c r="J14" s="1654"/>
    </row>
    <row r="15" spans="1:10" x14ac:dyDescent="0.2">
      <c r="A15" s="1654"/>
      <c r="B15" s="1654"/>
      <c r="C15" s="1654"/>
      <c r="D15" s="1654"/>
      <c r="E15" s="1654"/>
      <c r="F15" s="1654"/>
      <c r="G15" s="1654"/>
      <c r="H15" s="1654"/>
      <c r="I15" s="1654"/>
      <c r="J15" s="1654"/>
    </row>
    <row r="16" spans="1:10" x14ac:dyDescent="0.2">
      <c r="A16" s="1654"/>
      <c r="B16" s="1654"/>
      <c r="C16" s="1654"/>
      <c r="D16" s="1654"/>
      <c r="E16" s="1654"/>
      <c r="F16" s="1654"/>
      <c r="G16" s="1654"/>
      <c r="H16" s="1654"/>
      <c r="I16" s="1654"/>
      <c r="J16" s="1654"/>
    </row>
    <row r="17" spans="1:10" x14ac:dyDescent="0.2">
      <c r="A17" s="1654"/>
      <c r="B17" s="1654"/>
      <c r="C17" s="1654"/>
      <c r="D17" s="1654"/>
      <c r="E17" s="1654"/>
      <c r="F17" s="1654"/>
      <c r="G17" s="1654"/>
      <c r="H17" s="1654"/>
      <c r="I17" s="1654"/>
      <c r="J17" s="1654"/>
    </row>
    <row r="18" spans="1:10" x14ac:dyDescent="0.2">
      <c r="A18" s="1654"/>
      <c r="B18" s="1654"/>
      <c r="C18" s="1654"/>
      <c r="D18" s="1654"/>
      <c r="E18" s="1654"/>
      <c r="F18" s="1654"/>
      <c r="G18" s="1654"/>
      <c r="H18" s="1654"/>
      <c r="I18" s="1654"/>
      <c r="J18" s="1654"/>
    </row>
    <row r="19" spans="1:10" x14ac:dyDescent="0.2">
      <c r="A19" s="1654"/>
      <c r="B19" s="1654"/>
      <c r="C19" s="1654"/>
      <c r="D19" s="1654"/>
      <c r="E19" s="1654"/>
      <c r="F19" s="1654"/>
      <c r="G19" s="1654"/>
      <c r="H19" s="1654"/>
      <c r="I19" s="1654"/>
      <c r="J19" s="1654"/>
    </row>
    <row r="20" spans="1:10" x14ac:dyDescent="0.2">
      <c r="A20" s="1654"/>
      <c r="B20" s="1654"/>
      <c r="C20" s="1654"/>
      <c r="D20" s="1654"/>
      <c r="E20" s="1654"/>
      <c r="F20" s="1654"/>
      <c r="G20" s="1654"/>
      <c r="H20" s="1654"/>
      <c r="I20" s="1654"/>
      <c r="J20" s="1654"/>
    </row>
    <row r="21" spans="1:10" x14ac:dyDescent="0.2">
      <c r="A21" s="1654"/>
      <c r="B21" s="1654"/>
      <c r="C21" s="1654"/>
      <c r="D21" s="1654"/>
      <c r="E21" s="1654"/>
      <c r="F21" s="1654"/>
      <c r="G21" s="1654"/>
      <c r="H21" s="1654"/>
      <c r="I21" s="1654"/>
      <c r="J21" s="1654"/>
    </row>
    <row r="22" spans="1:10" x14ac:dyDescent="0.2">
      <c r="A22" s="1654"/>
      <c r="B22" s="1654"/>
      <c r="C22" s="1654"/>
      <c r="D22" s="1654"/>
      <c r="E22" s="1654"/>
      <c r="F22" s="1654"/>
      <c r="G22" s="1654"/>
      <c r="H22" s="1654"/>
      <c r="I22" s="1654"/>
      <c r="J22" s="1654"/>
    </row>
    <row r="23" spans="1:10" x14ac:dyDescent="0.2">
      <c r="A23" s="1654"/>
      <c r="B23" s="1654"/>
      <c r="C23" s="1654"/>
      <c r="D23" s="1654"/>
      <c r="E23" s="1654"/>
      <c r="F23" s="1654"/>
      <c r="G23" s="1654"/>
      <c r="H23" s="1654"/>
      <c r="I23" s="1654"/>
      <c r="J23" s="1654"/>
    </row>
    <row r="24" spans="1:10" x14ac:dyDescent="0.2">
      <c r="A24" s="1654"/>
      <c r="B24" s="1654"/>
      <c r="C24" s="1654"/>
      <c r="D24" s="1654"/>
      <c r="E24" s="1654"/>
      <c r="F24" s="1654"/>
      <c r="G24" s="1654"/>
      <c r="H24" s="1654"/>
      <c r="I24" s="1654"/>
      <c r="J24" s="1654"/>
    </row>
    <row r="25" spans="1:10" x14ac:dyDescent="0.2">
      <c r="A25" s="1654"/>
      <c r="B25" s="1654"/>
      <c r="C25" s="1654"/>
      <c r="D25" s="1654"/>
      <c r="E25" s="1654"/>
      <c r="F25" s="1654"/>
      <c r="G25" s="1654"/>
      <c r="H25" s="1654"/>
      <c r="I25" s="1654"/>
      <c r="J25" s="1654"/>
    </row>
    <row r="26" spans="1:10" x14ac:dyDescent="0.2">
      <c r="A26" s="1654"/>
      <c r="B26" s="1654"/>
      <c r="C26" s="1654"/>
      <c r="D26" s="1654"/>
      <c r="E26" s="1654"/>
      <c r="F26" s="1654"/>
      <c r="G26" s="1654"/>
      <c r="H26" s="1654"/>
      <c r="I26" s="1654"/>
      <c r="J26" s="1654"/>
    </row>
    <row r="27" spans="1:10" x14ac:dyDescent="0.2">
      <c r="A27" s="1654"/>
      <c r="B27" s="1654"/>
      <c r="C27" s="1654"/>
      <c r="D27" s="1654"/>
      <c r="E27" s="1654"/>
      <c r="F27" s="1654"/>
      <c r="G27" s="1654"/>
      <c r="H27" s="1654"/>
      <c r="I27" s="1654"/>
      <c r="J27" s="1654"/>
    </row>
    <row r="28" spans="1:10" x14ac:dyDescent="0.2">
      <c r="A28" s="1654"/>
      <c r="B28" s="1654"/>
      <c r="C28" s="1654"/>
      <c r="D28" s="1654"/>
      <c r="E28" s="1654"/>
      <c r="F28" s="1654"/>
      <c r="G28" s="1654"/>
      <c r="H28" s="1654"/>
      <c r="I28" s="1654"/>
      <c r="J28" s="1654"/>
    </row>
    <row r="29" spans="1:10" x14ac:dyDescent="0.2">
      <c r="A29" s="1654"/>
      <c r="B29" s="1654"/>
      <c r="C29" s="1654"/>
      <c r="D29" s="1654"/>
      <c r="E29" s="1654"/>
      <c r="F29" s="1654"/>
      <c r="G29" s="1654"/>
      <c r="H29" s="1654"/>
      <c r="I29" s="1654"/>
      <c r="J29" s="1654"/>
    </row>
    <row r="30" spans="1:10" x14ac:dyDescent="0.2">
      <c r="A30" s="1654"/>
      <c r="B30" s="1654"/>
      <c r="C30" s="1654"/>
      <c r="D30" s="1654"/>
      <c r="E30" s="1654"/>
      <c r="F30" s="1654"/>
      <c r="G30" s="1654"/>
      <c r="H30" s="1654"/>
      <c r="I30" s="1654"/>
      <c r="J30" s="1654"/>
    </row>
    <row r="31" spans="1:10" x14ac:dyDescent="0.2">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C50" sqref="C50"/>
      <selection pane="bottomLeft" activeCell="D26" sqref="D26"/>
    </sheetView>
  </sheetViews>
  <sheetFormatPr baseColWidth="10" defaultColWidth="14.5" defaultRowHeight="16" x14ac:dyDescent="0.2"/>
  <cols>
    <col min="1" max="1" width="14.5" style="1660" customWidth="1"/>
    <col min="2" max="16384" width="14.5" style="1642"/>
  </cols>
  <sheetData>
    <row r="1" spans="1:7" s="1657" customFormat="1" ht="18" x14ac:dyDescent="0.2">
      <c r="A1" s="1656" t="s">
        <v>1387</v>
      </c>
    </row>
    <row r="3" spans="1:7" x14ac:dyDescent="0.2">
      <c r="A3" s="1658" t="s">
        <v>82</v>
      </c>
      <c r="B3" s="1642" t="s">
        <v>1388</v>
      </c>
      <c r="G3" s="1659"/>
    </row>
    <row r="4" spans="1:7" x14ac:dyDescent="0.2">
      <c r="G4" s="1659"/>
    </row>
    <row r="5" spans="1:7" x14ac:dyDescent="0.2">
      <c r="A5" s="1661" t="s">
        <v>73</v>
      </c>
      <c r="B5" s="1642" t="s">
        <v>1389</v>
      </c>
      <c r="G5" s="1659"/>
    </row>
    <row r="6" spans="1:7" x14ac:dyDescent="0.2">
      <c r="G6" s="1659"/>
    </row>
    <row r="7" spans="1:7" x14ac:dyDescent="0.2">
      <c r="A7" s="1662" t="s">
        <v>135</v>
      </c>
      <c r="B7" s="1642" t="s">
        <v>1390</v>
      </c>
      <c r="G7" s="1659"/>
    </row>
    <row r="8" spans="1:7" x14ac:dyDescent="0.2">
      <c r="G8" s="1659"/>
    </row>
    <row r="9" spans="1:7" x14ac:dyDescent="0.2">
      <c r="A9" s="1663" t="s">
        <v>74</v>
      </c>
      <c r="B9" s="1642" t="s">
        <v>1391</v>
      </c>
    </row>
    <row r="11" spans="1:7" x14ac:dyDescent="0.2">
      <c r="A11" s="1664" t="s">
        <v>75</v>
      </c>
      <c r="B11" s="1665" t="s">
        <v>72</v>
      </c>
    </row>
    <row r="13" spans="1:7" x14ac:dyDescent="0.2">
      <c r="A13" s="1666" t="s">
        <v>1392</v>
      </c>
    </row>
    <row r="15" spans="1:7" ht="15" x14ac:dyDescent="0.2">
      <c r="A15" s="3410" t="s">
        <v>1393</v>
      </c>
      <c r="B15" s="3405" t="s">
        <v>136</v>
      </c>
      <c r="C15" s="3406"/>
    </row>
    <row r="16" spans="1:7" ht="15" x14ac:dyDescent="0.2">
      <c r="A16" s="3411"/>
      <c r="B16" s="3405" t="s">
        <v>69</v>
      </c>
      <c r="C16" s="3406"/>
    </row>
    <row r="17" spans="1:3" ht="15" x14ac:dyDescent="0.2">
      <c r="A17" s="3411"/>
      <c r="B17" s="3408" t="s">
        <v>1394</v>
      </c>
      <c r="C17" s="1667" t="s">
        <v>1393</v>
      </c>
    </row>
    <row r="18" spans="1:3" ht="15" x14ac:dyDescent="0.2">
      <c r="A18" s="3411"/>
      <c r="B18" s="3408"/>
      <c r="C18" s="1667" t="s">
        <v>1395</v>
      </c>
    </row>
    <row r="19" spans="1:3" ht="15" x14ac:dyDescent="0.2">
      <c r="A19" s="3411"/>
      <c r="B19" s="3408"/>
      <c r="C19" s="1667" t="s">
        <v>1396</v>
      </c>
    </row>
    <row r="20" spans="1:3" ht="15" x14ac:dyDescent="0.2">
      <c r="A20" s="3412"/>
      <c r="B20" s="3407" t="s">
        <v>1397</v>
      </c>
      <c r="C20" s="3406"/>
    </row>
    <row r="21" spans="1:3" ht="15" x14ac:dyDescent="0.2">
      <c r="A21" s="1668" t="s">
        <v>1398</v>
      </c>
      <c r="B21" s="1669"/>
      <c r="C21" s="1670"/>
    </row>
    <row r="22" spans="1:3" ht="15" x14ac:dyDescent="0.2">
      <c r="A22" s="3409" t="s">
        <v>1399</v>
      </c>
      <c r="B22" s="3407" t="s">
        <v>1400</v>
      </c>
      <c r="C22" s="3406"/>
    </row>
    <row r="23" spans="1:3" ht="15" x14ac:dyDescent="0.2">
      <c r="A23" s="3409"/>
      <c r="B23" s="3407" t="s">
        <v>1401</v>
      </c>
      <c r="C23" s="3406"/>
    </row>
    <row r="24" spans="1:3" ht="15" x14ac:dyDescent="0.2">
      <c r="A24" s="3409"/>
      <c r="B24" s="3407" t="s">
        <v>1402</v>
      </c>
      <c r="C24" s="3406"/>
    </row>
    <row r="25" spans="1:3" ht="15" x14ac:dyDescent="0.2">
      <c r="A25" s="3409"/>
      <c r="B25" s="3408" t="s">
        <v>1403</v>
      </c>
      <c r="C25" s="1667" t="s">
        <v>1404</v>
      </c>
    </row>
    <row r="26" spans="1:3" ht="15" x14ac:dyDescent="0.2">
      <c r="A26" s="3409"/>
      <c r="B26" s="3408"/>
      <c r="C26" s="1667" t="s">
        <v>1405</v>
      </c>
    </row>
    <row r="27" spans="1:3" ht="15" x14ac:dyDescent="0.2">
      <c r="A27" s="3409"/>
      <c r="B27" s="3408"/>
      <c r="C27" s="1667" t="s">
        <v>1406</v>
      </c>
    </row>
    <row r="28" spans="1:3" ht="15" x14ac:dyDescent="0.2">
      <c r="A28" s="3409"/>
      <c r="B28" s="3408"/>
      <c r="C28" s="1667" t="s">
        <v>1407</v>
      </c>
    </row>
    <row r="29" spans="1:3" ht="15" x14ac:dyDescent="0.2">
      <c r="A29" s="3409"/>
      <c r="B29" s="3408"/>
      <c r="C29" s="1667" t="s">
        <v>1408</v>
      </c>
    </row>
    <row r="30" spans="1:3" ht="15" x14ac:dyDescent="0.2">
      <c r="A30" s="3409"/>
      <c r="B30" s="3408"/>
      <c r="C30" s="1667" t="s">
        <v>1409</v>
      </c>
    </row>
    <row r="31" spans="1:3" ht="15" x14ac:dyDescent="0.2">
      <c r="A31" s="3409"/>
      <c r="B31" s="3408"/>
      <c r="C31" s="1667" t="s">
        <v>1410</v>
      </c>
    </row>
    <row r="32" spans="1:3" ht="15" x14ac:dyDescent="0.2">
      <c r="A32" s="3409"/>
      <c r="B32" s="3408"/>
      <c r="C32" s="1667" t="s">
        <v>1411</v>
      </c>
    </row>
    <row r="33" spans="1:3" ht="15" x14ac:dyDescent="0.2">
      <c r="A33" s="3409"/>
      <c r="B33" s="3408"/>
      <c r="C33" s="1667" t="s">
        <v>1412</v>
      </c>
    </row>
    <row r="34" spans="1:3" x14ac:dyDescent="0.2">
      <c r="A34" s="1671" t="s">
        <v>76</v>
      </c>
    </row>
    <row r="37" spans="1:3" x14ac:dyDescent="0.2">
      <c r="A37" s="1671" t="s">
        <v>1413</v>
      </c>
    </row>
    <row r="38" spans="1:3" ht="15" x14ac:dyDescent="0.2">
      <c r="A38" s="1672" t="s">
        <v>77</v>
      </c>
    </row>
    <row r="39" spans="1:3" ht="15" x14ac:dyDescent="0.2">
      <c r="A39" s="1672" t="s">
        <v>78</v>
      </c>
    </row>
    <row r="40" spans="1:3" ht="15" x14ac:dyDescent="0.2">
      <c r="A40" s="1672" t="s">
        <v>79</v>
      </c>
    </row>
    <row r="41" spans="1:3" ht="15" x14ac:dyDescent="0.2">
      <c r="A41" s="1673" t="s">
        <v>80</v>
      </c>
    </row>
    <row r="42" spans="1:3" ht="15" x14ac:dyDescent="0.2">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H22"/>
  <sheetViews>
    <sheetView view="pageBreakPreview" zoomScale="60" workbookViewId="0">
      <selection activeCell="B37" sqref="B37"/>
    </sheetView>
  </sheetViews>
  <sheetFormatPr baseColWidth="10" defaultColWidth="22.6640625" defaultRowHeight="24" customHeight="1" x14ac:dyDescent="0.2"/>
  <cols>
    <col min="1" max="1" width="24.6640625" style="2510" customWidth="1"/>
    <col min="2" max="2" width="38.6640625" style="2510" customWidth="1"/>
    <col min="3" max="3" width="26" style="2510" customWidth="1"/>
    <col min="4" max="4" width="35" style="2510" hidden="1" customWidth="1"/>
    <col min="5" max="5" width="30.1640625" style="2510" customWidth="1"/>
    <col min="6" max="6" width="35.5" style="2510" customWidth="1"/>
    <col min="7" max="7" width="31" style="2510" customWidth="1"/>
    <col min="8" max="8" width="37.5" style="2510" hidden="1" customWidth="1"/>
    <col min="9" max="16384" width="22.6640625" style="2510"/>
  </cols>
  <sheetData>
    <row r="1" spans="1:8" ht="24" customHeight="1" x14ac:dyDescent="0.2">
      <c r="A1" s="2509"/>
      <c r="B1" s="2509"/>
      <c r="C1" s="2509"/>
      <c r="D1" s="2509"/>
      <c r="E1" s="2509"/>
      <c r="F1" s="2509"/>
      <c r="G1" s="2509"/>
      <c r="H1" s="2509"/>
    </row>
    <row r="2" spans="1:8" ht="24" customHeight="1" x14ac:dyDescent="0.2">
      <c r="A2" s="2511" t="s">
        <v>2640</v>
      </c>
      <c r="B2" s="2512">
        <f ca="1">TODAY()</f>
        <v>44897</v>
      </c>
      <c r="C2" s="2513" t="s">
        <v>2641</v>
      </c>
      <c r="D2" s="2513"/>
      <c r="E2" s="2513"/>
      <c r="F2" s="2509"/>
      <c r="G2" s="2509"/>
      <c r="H2" s="2509"/>
    </row>
    <row r="3" spans="1:8" ht="24" customHeight="1" x14ac:dyDescent="0.2">
      <c r="A3" s="2514" t="s">
        <v>2642</v>
      </c>
      <c r="B3" s="2515" t="s">
        <v>2643</v>
      </c>
      <c r="C3" s="2515" t="s">
        <v>2644</v>
      </c>
      <c r="D3" s="2516" t="s">
        <v>2645</v>
      </c>
      <c r="E3" s="2517" t="s">
        <v>2646</v>
      </c>
      <c r="F3" s="1424" t="s">
        <v>2647</v>
      </c>
      <c r="G3" s="2515" t="s">
        <v>2644</v>
      </c>
      <c r="H3" s="2516" t="s">
        <v>2648</v>
      </c>
    </row>
    <row r="4" spans="1:8" ht="24" customHeight="1" x14ac:dyDescent="0.2">
      <c r="A4" s="1424" t="s">
        <v>2649</v>
      </c>
      <c r="B4" s="1424" t="str">
        <f ca="1">IF(C4&lt;B2,"已过期",1119970066)</f>
        <v>已过期</v>
      </c>
      <c r="C4" s="2518">
        <v>44876</v>
      </c>
      <c r="D4" s="2519" t="str">
        <f ca="1">A4&amp;"（注册号："&amp;B4&amp;"）"</f>
        <v>梁津（注册号：已过期）</v>
      </c>
      <c r="E4" s="2520" t="s">
        <v>2649</v>
      </c>
      <c r="F4" s="1424">
        <f ca="1">IF(G4&lt;B2,"已过期",96010014)</f>
        <v>96010014</v>
      </c>
      <c r="G4" s="2521">
        <v>47118</v>
      </c>
      <c r="H4" s="2522" t="str">
        <f ca="1">E4&amp;"（注册号："&amp;F4&amp;"）"</f>
        <v>梁津（注册号：96010014）</v>
      </c>
    </row>
    <row r="5" spans="1:8" ht="24" customHeight="1" x14ac:dyDescent="0.2">
      <c r="A5" s="1424" t="s">
        <v>2650</v>
      </c>
      <c r="B5" s="1424" t="str">
        <f ca="1">IF(C5&lt;B2,"已过期",1119970111)</f>
        <v>已过期</v>
      </c>
      <c r="C5" s="2518">
        <v>44876</v>
      </c>
      <c r="D5" s="2519" t="str">
        <f t="shared" ref="D5:D15" ca="1" si="0">A5&amp;"（注册号："&amp;B5&amp;"）"</f>
        <v>叶凌（注册号：已过期）</v>
      </c>
      <c r="E5" s="2520" t="s">
        <v>2650</v>
      </c>
      <c r="F5" s="1424">
        <f ca="1">IF(G5&lt;B2,"已过期",94010078)</f>
        <v>94010078</v>
      </c>
      <c r="G5" s="2521">
        <v>46387</v>
      </c>
      <c r="H5" s="2522" t="str">
        <f t="shared" ref="H5:H16" ca="1" si="1">E5&amp;"（注册号："&amp;F5&amp;"）"</f>
        <v>叶凌（注册号：94010078）</v>
      </c>
    </row>
    <row r="6" spans="1:8" ht="24" customHeight="1" x14ac:dyDescent="0.2">
      <c r="A6" s="1424" t="s">
        <v>2651</v>
      </c>
      <c r="B6" s="1424">
        <f ca="1">IF(C6&lt;B2,"已过期",1120050019)</f>
        <v>1120050019</v>
      </c>
      <c r="C6" s="2518">
        <v>45410</v>
      </c>
      <c r="D6" s="2519" t="str">
        <f t="shared" ca="1" si="0"/>
        <v>王鹏（注册号：1120050019）</v>
      </c>
      <c r="E6" s="2520" t="s">
        <v>2651</v>
      </c>
      <c r="F6" s="1424">
        <f ca="1">IF(G6&lt;B2,"已过期",2002110030)</f>
        <v>2002110030</v>
      </c>
      <c r="G6" s="2521">
        <v>46387</v>
      </c>
      <c r="H6" s="2522" t="str">
        <f t="shared" ca="1" si="1"/>
        <v>王鹏（注册号：2002110030）</v>
      </c>
    </row>
    <row r="7" spans="1:8" ht="24" customHeight="1" x14ac:dyDescent="0.2">
      <c r="A7" s="1424" t="s">
        <v>2652</v>
      </c>
      <c r="B7" s="1424" t="str">
        <f ca="1">IF(C7&lt;B2,"已过期",1120000080)</f>
        <v>已过期</v>
      </c>
      <c r="C7" s="2518">
        <v>44876</v>
      </c>
      <c r="D7" s="2519" t="str">
        <f t="shared" ca="1" si="0"/>
        <v>欧红伟（注册号：已过期）</v>
      </c>
      <c r="E7" s="2520" t="s">
        <v>2652</v>
      </c>
      <c r="F7" s="1424">
        <f ca="1">IF(G7&lt;B2,"已过期",2000110082)</f>
        <v>2000110082</v>
      </c>
      <c r="G7" s="2521">
        <v>46387</v>
      </c>
      <c r="H7" s="2522" t="str">
        <f t="shared" ca="1" si="1"/>
        <v>欧红伟（注册号：2000110082）</v>
      </c>
    </row>
    <row r="8" spans="1:8" ht="24" customHeight="1" x14ac:dyDescent="0.2">
      <c r="A8" s="1424" t="s">
        <v>2653</v>
      </c>
      <c r="B8" s="1424">
        <f ca="1">IF(C8&lt;B2,"已过期",1419970001)</f>
        <v>1419970001</v>
      </c>
      <c r="C8" s="2518">
        <v>44899</v>
      </c>
      <c r="D8" s="2519" t="str">
        <f t="shared" ca="1" si="0"/>
        <v>吴薇（注册号：1419970001）</v>
      </c>
      <c r="E8" s="2520" t="s">
        <v>2653</v>
      </c>
      <c r="F8" s="1424">
        <f ca="1">IF(G8&lt;B2,"已过期",2002110125)</f>
        <v>2002110125</v>
      </c>
      <c r="G8" s="2521">
        <v>47118</v>
      </c>
      <c r="H8" s="2522" t="str">
        <f t="shared" ca="1" si="1"/>
        <v>吴薇（注册号：2002110125）</v>
      </c>
    </row>
    <row r="9" spans="1:8" ht="24" customHeight="1" x14ac:dyDescent="0.2">
      <c r="A9" s="1424" t="s">
        <v>2654</v>
      </c>
      <c r="B9" s="1424">
        <f ca="1">IF(C9&lt;B2,"已过期",1120060040)</f>
        <v>1120060040</v>
      </c>
      <c r="C9" s="2523">
        <v>45592</v>
      </c>
      <c r="D9" s="2519" t="str">
        <f t="shared" ca="1" si="0"/>
        <v>陈颖（注册号：1120060040）</v>
      </c>
      <c r="E9" s="2520" t="s">
        <v>2654</v>
      </c>
      <c r="F9" s="1424">
        <f ca="1">IF(G9&lt;B2,"已过期",2004110096)</f>
        <v>2004110096</v>
      </c>
      <c r="G9" s="2521">
        <v>47118</v>
      </c>
      <c r="H9" s="2522" t="str">
        <f t="shared" ca="1" si="1"/>
        <v>陈颖（注册号：2004110096）</v>
      </c>
    </row>
    <row r="10" spans="1:8" ht="24" customHeight="1" x14ac:dyDescent="0.2">
      <c r="A10" s="1424" t="s">
        <v>2655</v>
      </c>
      <c r="B10" s="1424" t="str">
        <f ca="1">IF(C10&lt;B2,"已过期",1120100036)</f>
        <v>已过期</v>
      </c>
      <c r="C10" s="2523">
        <v>44675</v>
      </c>
      <c r="D10" s="2519" t="str">
        <f t="shared" ca="1" si="0"/>
        <v>崔锴（注册号：已过期）</v>
      </c>
      <c r="E10" s="2520" t="s">
        <v>2655</v>
      </c>
      <c r="F10" s="1424">
        <f ca="1">IF(G10&lt;B2,"已过期",2010110070)</f>
        <v>2010110070</v>
      </c>
      <c r="G10" s="2521">
        <v>47907</v>
      </c>
      <c r="H10" s="2522" t="str">
        <f t="shared" ca="1" si="1"/>
        <v>崔锴（注册号：2010110070）</v>
      </c>
    </row>
    <row r="11" spans="1:8" ht="24" customHeight="1" x14ac:dyDescent="0.2">
      <c r="A11" s="1424" t="s">
        <v>2656</v>
      </c>
      <c r="B11" s="1424" t="str">
        <f ca="1">IF(C11&lt;B2,"已过期",1120070131)</f>
        <v>已过期</v>
      </c>
      <c r="C11" s="2518">
        <v>44849</v>
      </c>
      <c r="D11" s="2519" t="str">
        <f t="shared" ca="1" si="0"/>
        <v>郑燚（注册号：已过期）</v>
      </c>
      <c r="E11" s="2520" t="s">
        <v>2656</v>
      </c>
      <c r="F11" s="1424">
        <f ca="1">IF(G11&lt;B2,"已过期",2014110011)</f>
        <v>2014110011</v>
      </c>
      <c r="G11" s="2521">
        <v>49302</v>
      </c>
      <c r="H11" s="2522" t="str">
        <f t="shared" ca="1" si="1"/>
        <v>郑燚（注册号：2014110011）</v>
      </c>
    </row>
    <row r="12" spans="1:8" ht="24" customHeight="1" x14ac:dyDescent="0.2">
      <c r="A12" s="1424" t="s">
        <v>2657</v>
      </c>
      <c r="B12" s="1424" t="str">
        <f ca="1">IF(C12&lt;B2,"已过期",1120040230)</f>
        <v>已过期</v>
      </c>
      <c r="C12" s="2523">
        <v>44864</v>
      </c>
      <c r="D12" s="2519" t="str">
        <f t="shared" ca="1" si="0"/>
        <v>苏海（注册号：已过期）</v>
      </c>
      <c r="E12" s="2520" t="s">
        <v>2657</v>
      </c>
      <c r="F12" s="1424">
        <f ca="1">IF(G12&lt;B2,"已过期",98030020)</f>
        <v>98030020</v>
      </c>
      <c r="G12" s="2521">
        <v>47118</v>
      </c>
      <c r="H12" s="2522" t="str">
        <f t="shared" ca="1" si="1"/>
        <v>苏海（注册号：98030020）</v>
      </c>
    </row>
    <row r="13" spans="1:8" ht="24" customHeight="1" x14ac:dyDescent="0.2">
      <c r="A13" s="1424" t="s">
        <v>2658</v>
      </c>
      <c r="B13" s="1424" t="str">
        <f ca="1">IF(C13&lt;B2,"已过期",1120020033)</f>
        <v>已过期</v>
      </c>
      <c r="C13" s="2518">
        <v>44339</v>
      </c>
      <c r="D13" s="2519" t="str">
        <f t="shared" ca="1" si="0"/>
        <v>刘敬东（注册号：已过期）</v>
      </c>
      <c r="E13" s="2520" t="s">
        <v>2658</v>
      </c>
      <c r="F13" s="1424">
        <f ca="1">IF(G13&lt;B2,"已过期",2000110137)</f>
        <v>2000110137</v>
      </c>
      <c r="G13" s="2521">
        <v>46387</v>
      </c>
      <c r="H13" s="2522" t="str">
        <f t="shared" ca="1" si="1"/>
        <v>刘敬东（注册号：2000110137）</v>
      </c>
    </row>
    <row r="14" spans="1:8" ht="24" customHeight="1" x14ac:dyDescent="0.2">
      <c r="A14" s="1424" t="s">
        <v>2659</v>
      </c>
      <c r="B14" s="1424">
        <f ca="1">IF(C14&lt;B2,"已过期",1119980106)</f>
        <v>1119980106</v>
      </c>
      <c r="C14" s="2523">
        <v>44969</v>
      </c>
      <c r="D14" s="2519" t="str">
        <f t="shared" ca="1" si="0"/>
        <v>刘俊财（注册号：1119980106）</v>
      </c>
      <c r="E14" s="2520" t="s">
        <v>2659</v>
      </c>
      <c r="F14" s="1424">
        <f ca="1">IF(G14&lt;B2,"已过期",96010063)</f>
        <v>96010063</v>
      </c>
      <c r="G14" s="2521">
        <v>47483</v>
      </c>
      <c r="H14" s="2522" t="str">
        <f t="shared" ca="1" si="1"/>
        <v>刘俊财（注册号：96010063）</v>
      </c>
    </row>
    <row r="15" spans="1:8" ht="24" customHeight="1" x14ac:dyDescent="0.2">
      <c r="A15" s="1424" t="s">
        <v>2944</v>
      </c>
      <c r="B15" s="1424">
        <v>1120210056</v>
      </c>
      <c r="C15" s="2523">
        <v>45410</v>
      </c>
      <c r="D15" s="2519" t="str">
        <f t="shared" si="0"/>
        <v>宁小鳗（注册号：1120210056）</v>
      </c>
      <c r="E15" s="2520" t="s">
        <v>2660</v>
      </c>
      <c r="F15" s="1424">
        <f ca="1">IF(G15&lt;B2,"已过期",2011110090)</f>
        <v>2011110090</v>
      </c>
      <c r="G15" s="2521">
        <v>48302</v>
      </c>
      <c r="H15" s="2522" t="str">
        <f t="shared" ca="1" si="1"/>
        <v>赵雯（注册号：2011110090）</v>
      </c>
    </row>
    <row r="16" spans="1:8" s="2525" customFormat="1" ht="24" customHeight="1" x14ac:dyDescent="0.2">
      <c r="A16" s="1424"/>
      <c r="B16" s="1424"/>
      <c r="C16" s="1424"/>
      <c r="D16" s="2519" t="str">
        <f>A16&amp;"（注册号："&amp;B16&amp;"）"</f>
        <v>（注册号：）</v>
      </c>
      <c r="E16" s="2520"/>
      <c r="F16" s="1424"/>
      <c r="G16" s="1424"/>
      <c r="H16" s="2524" t="str">
        <f t="shared" si="1"/>
        <v>（注册号：）</v>
      </c>
    </row>
    <row r="17" spans="1:8" ht="24" customHeight="1" x14ac:dyDescent="0.2">
      <c r="A17" s="3413" t="s">
        <v>2661</v>
      </c>
      <c r="B17" s="3413"/>
      <c r="C17" s="3413"/>
      <c r="D17" s="3413"/>
      <c r="E17" s="3413"/>
      <c r="F17" s="3413"/>
      <c r="G17" s="3413"/>
      <c r="H17" s="3413"/>
    </row>
    <row r="18" spans="1:8" ht="24" customHeight="1" x14ac:dyDescent="0.2">
      <c r="A18" s="3414" t="s">
        <v>2662</v>
      </c>
      <c r="B18" s="3414"/>
      <c r="C18" s="3414"/>
      <c r="D18" s="2516"/>
      <c r="E18" s="3415" t="s">
        <v>2663</v>
      </c>
      <c r="F18" s="3414"/>
      <c r="G18" s="3414"/>
    </row>
    <row r="19" spans="1:8" s="2527" customFormat="1" ht="24" customHeight="1" x14ac:dyDescent="0.2">
      <c r="A19" s="2526" t="s">
        <v>2664</v>
      </c>
      <c r="B19" s="2515" t="s">
        <v>2665</v>
      </c>
      <c r="C19" s="2515" t="s">
        <v>2644</v>
      </c>
      <c r="D19" s="2516"/>
      <c r="E19" s="2520" t="s">
        <v>2664</v>
      </c>
      <c r="F19" s="2515" t="s">
        <v>2665</v>
      </c>
      <c r="G19" s="2515" t="s">
        <v>2644</v>
      </c>
    </row>
    <row r="20" spans="1:8" s="2527" customFormat="1" ht="24" customHeight="1" x14ac:dyDescent="0.2">
      <c r="A20" s="2528" t="s">
        <v>2666</v>
      </c>
      <c r="B20" s="2528" t="s">
        <v>2667</v>
      </c>
      <c r="C20" s="2521">
        <v>44820</v>
      </c>
      <c r="D20" s="2529"/>
      <c r="E20" s="2530" t="s">
        <v>2668</v>
      </c>
      <c r="F20" s="2533" t="s">
        <v>2945</v>
      </c>
      <c r="G20" s="2534">
        <v>44926</v>
      </c>
    </row>
    <row r="21" spans="1:8" s="2527" customFormat="1" ht="24" customHeight="1" x14ac:dyDescent="0.2">
      <c r="A21" s="2528"/>
      <c r="B21" s="2528"/>
      <c r="C21" s="2531"/>
      <c r="D21" s="2532"/>
      <c r="E21" s="2530"/>
      <c r="F21" s="2533"/>
      <c r="G21" s="2534"/>
    </row>
    <row r="22" spans="1:8" ht="24" customHeight="1" x14ac:dyDescent="0.2">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抵押物清单</vt:lpstr>
      <vt:lpstr>租赁台账-今典底稿</vt:lpstr>
      <vt:lpstr>租约整理</vt:lpstr>
      <vt:lpstr>车位成交案例</vt:lpstr>
      <vt:lpstr>1号楼</vt:lpstr>
      <vt:lpstr>2号楼</vt:lpstr>
      <vt:lpstr>3号楼</vt:lpstr>
      <vt:lpstr>7号楼</vt:lpstr>
      <vt:lpstr>项目基本情况</vt:lpstr>
      <vt:lpstr>数据-基础表</vt:lpstr>
      <vt:lpstr>抵押物清单（分楼）</vt:lpstr>
      <vt:lpstr>数据-汇总表</vt:lpstr>
      <vt:lpstr>数据-取费表</vt:lpstr>
      <vt:lpstr>结果表-商业</vt:lpstr>
      <vt:lpstr>收益法-商业</vt:lpstr>
      <vt:lpstr>比较法-商业</vt:lpstr>
      <vt:lpstr>商业租金</vt:lpstr>
      <vt:lpstr>租金案例</vt:lpstr>
      <vt:lpstr>成本法-商业</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系统读取表</vt:lpstr>
      <vt:lpstr>工作表4</vt:lpstr>
      <vt:lpstr>工作表1</vt:lpstr>
      <vt:lpstr>估价对象房地状况</vt:lpstr>
      <vt:lpstr>现场</vt:lpstr>
      <vt:lpstr>定义</vt:lpstr>
      <vt:lpstr>成本法（废）</vt:lpstr>
      <vt:lpstr>区片价</vt:lpstr>
      <vt:lpstr>因素修正幅度</vt:lpstr>
      <vt:lpstr>存贷款利率</vt:lpstr>
      <vt:lpstr>区片价（范围）</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cp:lastPrinted>2022-11-18T02:55:42Z</cp:lastPrinted>
  <dcterms:created xsi:type="dcterms:W3CDTF">2015-07-13T07:17:23Z</dcterms:created>
  <dcterms:modified xsi:type="dcterms:W3CDTF">2022-12-02T02:30:28Z</dcterms:modified>
</cp:coreProperties>
</file>