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2"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假设开发法" sheetId="12" state="hidden" r:id="rId19"/>
    <sheet name="收益法" sheetId="15" state="hidden" r:id="rId20"/>
    <sheet name="比较法-商业" sheetId="33" r:id="rId21"/>
    <sheet name="商业收益法 (元)" sheetId="67" r:id="rId22"/>
    <sheet name="收益法-酒店模型" sheetId="77" state="hidden" r:id="rId23"/>
    <sheet name="比较法-住宅" sheetId="21" state="hidden" r:id="rId24"/>
    <sheet name="成本法" sheetId="68" r:id="rId25"/>
    <sheet name="基准地价修正" sheetId="43" r:id="rId26"/>
    <sheet name="结果表-办公" sheetId="82" r:id="rId27"/>
    <sheet name="比较法-办公" sheetId="34" r:id="rId28"/>
    <sheet name="办公收益法 (元)" sheetId="80" r:id="rId29"/>
    <sheet name="收益法（汇总）" sheetId="70"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成本法 (元)" sheetId="69" r:id="rId47"/>
    <sheet name="基准地价修正 (2)" sheetId="83" r:id="rId48"/>
    <sheet name="Sheet2" sheetId="81" r:id="rId49"/>
  </sheets>
  <externalReferences>
    <externalReference r:id="rId50"/>
  </externalReferences>
  <definedNames>
    <definedName name="_xlnm._FilterDatabase" localSheetId="27"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3"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8">'办公收益法 (元)'!$A$1:$F$43,'办公收益法 (元)'!$H$3:$M$29,'办公收益法 (元)'!$A$45:$F$71,'办公收益法 (元)'!$I$46:$N$65</definedName>
    <definedName name="_xlnm.Print_Area" localSheetId="27">'比较法-办公'!$A$1:$K$55,'比较法-办公'!$A$58:$M$132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3">'比较法-住宅'!$A$1:$K$54,'比较法-住宅'!$A$57:$M$131</definedName>
    <definedName name="_xlnm.Print_Area" localSheetId="24">成本法!$A$1:$G$57</definedName>
    <definedName name="_xlnm.Print_Area" localSheetId="46">'成本法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5">基准地价修正!$A$1:$J$44,基准地价修正!$A$47:$H$101,基准地价修正!$R$1:$V$16</definedName>
    <definedName name="_xlnm.Print_Area" localSheetId="47">'基准地价修正 (2)'!$A$1:$J$44,'基准地价修正 (2)'!$A$47:$H$101,'基准地价修正 (2)'!$R$1:$V$16</definedName>
    <definedName name="_xlnm.Print_Area" localSheetId="18">假设开发法!$A$1:$K$32</definedName>
    <definedName name="_xlnm.Print_Area" localSheetId="26">'结果表-办公'!$A$1:$I$127</definedName>
    <definedName name="_xlnm.Print_Area" localSheetId="17">'结果表-商业'!$A$1:$I$127</definedName>
    <definedName name="_xlnm.Print_Area" localSheetId="21">'商业收益法 (元)'!$A$1:$F$43,'商业收益法 (元)'!$H$3:$M$29,'商业收益法 (元)'!$A$45:$F$71,'商业收益法 (元)'!$I$46:$N$65</definedName>
    <definedName name="_xlnm.Print_Area" localSheetId="19">收益法!$A$1:$F$43,收益法!$H$3:$M$29,收益法!$A$46:$F$71,收益法!$I$46:$N$65</definedName>
    <definedName name="_xlnm.Print_Area" localSheetId="29">'收益法（汇总）'!$A$1:$F$13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7">'基准地价修正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38" i="6" l="1"/>
  <c r="G37" i="6"/>
  <c r="C6" i="68"/>
  <c r="C6" i="69" l="1"/>
  <c r="G44" i="43"/>
  <c r="G44" i="83"/>
  <c r="D33" i="83"/>
  <c r="F116" i="83"/>
  <c r="N111" i="83"/>
  <c r="N112" i="83" s="1"/>
  <c r="M111" i="83"/>
  <c r="M112" i="83" s="1"/>
  <c r="L111" i="83"/>
  <c r="L112" i="83" s="1"/>
  <c r="K111" i="83"/>
  <c r="K112" i="83" s="1"/>
  <c r="J111" i="83"/>
  <c r="J112" i="83" s="1"/>
  <c r="I111" i="83"/>
  <c r="I112" i="83" s="1"/>
  <c r="H111" i="83"/>
  <c r="H112" i="83" s="1"/>
  <c r="G111" i="83"/>
  <c r="G112" i="83" s="1"/>
  <c r="F111" i="83"/>
  <c r="F112" i="83" s="1"/>
  <c r="E111" i="83"/>
  <c r="E112" i="83" s="1"/>
  <c r="D111" i="83"/>
  <c r="D112" i="83" s="1"/>
  <c r="C111" i="83"/>
  <c r="C112" i="83" s="1"/>
  <c r="M101" i="83"/>
  <c r="N101" i="83" s="1"/>
  <c r="K101" i="83"/>
  <c r="J101" i="83" s="1"/>
  <c r="D101" i="83"/>
  <c r="B101" i="83"/>
  <c r="N100" i="83"/>
  <c r="M100" i="83"/>
  <c r="K100" i="83"/>
  <c r="J100" i="83" s="1"/>
  <c r="D100" i="83"/>
  <c r="B100" i="83"/>
  <c r="N99" i="83"/>
  <c r="M99" i="83"/>
  <c r="K99" i="83"/>
  <c r="J99" i="83"/>
  <c r="D99" i="83"/>
  <c r="B99" i="83"/>
  <c r="N98" i="83"/>
  <c r="M98" i="83"/>
  <c r="K98" i="83"/>
  <c r="J98" i="83"/>
  <c r="D98" i="83"/>
  <c r="M97" i="83"/>
  <c r="N97" i="83" s="1"/>
  <c r="K97" i="83"/>
  <c r="J97" i="83" s="1"/>
  <c r="D97" i="83"/>
  <c r="B97" i="83"/>
  <c r="M96" i="83"/>
  <c r="N96" i="83" s="1"/>
  <c r="K96" i="83"/>
  <c r="J96" i="83" s="1"/>
  <c r="D96" i="83"/>
  <c r="N95" i="83"/>
  <c r="M95" i="83"/>
  <c r="K95" i="83"/>
  <c r="J95" i="83"/>
  <c r="D95" i="83"/>
  <c r="B95" i="83"/>
  <c r="M94" i="83"/>
  <c r="N94" i="83" s="1"/>
  <c r="K94" i="83"/>
  <c r="J94" i="83" s="1"/>
  <c r="D94" i="83"/>
  <c r="B94" i="83"/>
  <c r="M93" i="83"/>
  <c r="N93" i="83" s="1"/>
  <c r="K93" i="83"/>
  <c r="J93" i="83" s="1"/>
  <c r="F93" i="83"/>
  <c r="H101" i="83" s="1"/>
  <c r="D93" i="83"/>
  <c r="E93" i="83" s="1"/>
  <c r="B91" i="83" s="1"/>
  <c r="M90" i="83"/>
  <c r="N90" i="83" s="1"/>
  <c r="K90" i="83"/>
  <c r="J90" i="83" s="1"/>
  <c r="D90" i="83"/>
  <c r="B90" i="83"/>
  <c r="M89" i="83"/>
  <c r="N89" i="83" s="1"/>
  <c r="K89" i="83"/>
  <c r="J89" i="83" s="1"/>
  <c r="D89" i="83"/>
  <c r="N88" i="83"/>
  <c r="M88" i="83"/>
  <c r="K88" i="83"/>
  <c r="J88" i="83"/>
  <c r="D88" i="83"/>
  <c r="B88" i="83"/>
  <c r="M87" i="83"/>
  <c r="N87" i="83" s="1"/>
  <c r="K87" i="83"/>
  <c r="J87" i="83" s="1"/>
  <c r="D87" i="83"/>
  <c r="B87" i="83"/>
  <c r="M86" i="83"/>
  <c r="N86" i="83" s="1"/>
  <c r="K86" i="83"/>
  <c r="J86" i="83" s="1"/>
  <c r="D86" i="83"/>
  <c r="B86" i="83"/>
  <c r="N85" i="83"/>
  <c r="M85" i="83"/>
  <c r="K85" i="83"/>
  <c r="J85" i="83"/>
  <c r="D85" i="83"/>
  <c r="B85" i="83"/>
  <c r="N84" i="83"/>
  <c r="M84" i="83"/>
  <c r="K84" i="83"/>
  <c r="J84" i="83"/>
  <c r="D84" i="83"/>
  <c r="B84" i="83"/>
  <c r="M83" i="83"/>
  <c r="N83" i="83" s="1"/>
  <c r="K83" i="83"/>
  <c r="J83" i="83" s="1"/>
  <c r="F83" i="83"/>
  <c r="H88" i="83" s="1"/>
  <c r="E83" i="83"/>
  <c r="D83" i="83"/>
  <c r="B83" i="83"/>
  <c r="B81" i="83"/>
  <c r="N80" i="83"/>
  <c r="M80" i="83"/>
  <c r="K80" i="83"/>
  <c r="J80" i="83"/>
  <c r="D80" i="83"/>
  <c r="M79" i="83"/>
  <c r="N79" i="83" s="1"/>
  <c r="K79" i="83"/>
  <c r="J79" i="83" s="1"/>
  <c r="D79" i="83"/>
  <c r="B79" i="83"/>
  <c r="M78" i="83"/>
  <c r="N78" i="83" s="1"/>
  <c r="K78" i="83"/>
  <c r="J78" i="83" s="1"/>
  <c r="D78" i="83"/>
  <c r="N77" i="83"/>
  <c r="M77" i="83"/>
  <c r="K77" i="83"/>
  <c r="J77" i="83"/>
  <c r="D77" i="83"/>
  <c r="B77" i="83"/>
  <c r="M76" i="83"/>
  <c r="N76" i="83" s="1"/>
  <c r="K76" i="83"/>
  <c r="J76" i="83" s="1"/>
  <c r="D76" i="83"/>
  <c r="B76" i="83"/>
  <c r="M75" i="83"/>
  <c r="N75" i="83" s="1"/>
  <c r="K75" i="83"/>
  <c r="J75" i="83" s="1"/>
  <c r="D75" i="83"/>
  <c r="B75" i="83"/>
  <c r="N74" i="83"/>
  <c r="M74" i="83"/>
  <c r="K74" i="83"/>
  <c r="J74" i="83"/>
  <c r="D74" i="83"/>
  <c r="B74" i="83"/>
  <c r="N73" i="83"/>
  <c r="M73" i="83"/>
  <c r="K73" i="83"/>
  <c r="J73" i="83"/>
  <c r="D73" i="83"/>
  <c r="B73" i="83"/>
  <c r="M72" i="83"/>
  <c r="N72" i="83" s="1"/>
  <c r="K72" i="83"/>
  <c r="J72" i="83" s="1"/>
  <c r="F72" i="83"/>
  <c r="H77" i="83" s="1"/>
  <c r="E72" i="83"/>
  <c r="D72" i="83"/>
  <c r="B72" i="83"/>
  <c r="B70" i="83"/>
  <c r="N69" i="83"/>
  <c r="M69" i="83"/>
  <c r="K69" i="83"/>
  <c r="J69" i="83"/>
  <c r="D69" i="83"/>
  <c r="B69" i="83"/>
  <c r="N68" i="83"/>
  <c r="M68" i="83"/>
  <c r="K68" i="83"/>
  <c r="J68" i="83" s="1"/>
  <c r="D68" i="83"/>
  <c r="B68" i="83"/>
  <c r="M67" i="83"/>
  <c r="N67" i="83" s="1"/>
  <c r="K67" i="83"/>
  <c r="J67" i="83" s="1"/>
  <c r="D67" i="83"/>
  <c r="B67" i="83"/>
  <c r="N66" i="83"/>
  <c r="M66" i="83"/>
  <c r="K66" i="83"/>
  <c r="J66" i="83" s="1"/>
  <c r="D66" i="83"/>
  <c r="N65" i="83"/>
  <c r="M65" i="83"/>
  <c r="K65" i="83"/>
  <c r="J65" i="83" s="1"/>
  <c r="D65" i="83"/>
  <c r="B65" i="83"/>
  <c r="M64" i="83"/>
  <c r="N64" i="83" s="1"/>
  <c r="K64" i="83"/>
  <c r="J64" i="83" s="1"/>
  <c r="D64" i="83"/>
  <c r="N63" i="83"/>
  <c r="M63" i="83"/>
  <c r="K63" i="83"/>
  <c r="J63" i="83"/>
  <c r="D63" i="83"/>
  <c r="B63" i="83"/>
  <c r="N62" i="83"/>
  <c r="M62" i="83"/>
  <c r="K62" i="83"/>
  <c r="J62" i="83" s="1"/>
  <c r="D62" i="83"/>
  <c r="B62" i="83"/>
  <c r="M61" i="83"/>
  <c r="N61" i="83" s="1"/>
  <c r="K61" i="83"/>
  <c r="J61" i="83" s="1"/>
  <c r="E61" i="83"/>
  <c r="B59" i="83" s="1"/>
  <c r="D61" i="83"/>
  <c r="B61" i="83"/>
  <c r="B58" i="83"/>
  <c r="B57" i="83"/>
  <c r="B56" i="83"/>
  <c r="B54" i="83"/>
  <c r="B52" i="83"/>
  <c r="B51" i="83"/>
  <c r="B50" i="83"/>
  <c r="H42" i="83"/>
  <c r="H41" i="83"/>
  <c r="H40" i="83"/>
  <c r="H39" i="83"/>
  <c r="H38" i="83"/>
  <c r="H37" i="83"/>
  <c r="P29" i="83"/>
  <c r="P28" i="83"/>
  <c r="P26" i="83"/>
  <c r="P25" i="83"/>
  <c r="M24" i="83"/>
  <c r="J24" i="83"/>
  <c r="I24" i="83"/>
  <c r="G24" i="83"/>
  <c r="E24" i="83"/>
  <c r="Q32" i="83" s="1"/>
  <c r="O23" i="83"/>
  <c r="M23" i="83"/>
  <c r="I23" i="83"/>
  <c r="G23" i="83"/>
  <c r="P27" i="83" s="1"/>
  <c r="C23" i="83"/>
  <c r="C22" i="83"/>
  <c r="C20" i="83"/>
  <c r="G18" i="83"/>
  <c r="G17" i="83"/>
  <c r="C17" i="83"/>
  <c r="C13" i="83"/>
  <c r="C11" i="83"/>
  <c r="E10" i="83" s="1"/>
  <c r="AH10" i="83"/>
  <c r="AG10" i="83"/>
  <c r="AD10" i="83"/>
  <c r="AC10" i="83"/>
  <c r="Z10" i="83"/>
  <c r="Y10" i="83"/>
  <c r="C10" i="83"/>
  <c r="AJ9" i="83"/>
  <c r="AJ10" i="83" s="1"/>
  <c r="AI9" i="83"/>
  <c r="AI10" i="83" s="1"/>
  <c r="AH9" i="83"/>
  <c r="AG9" i="83"/>
  <c r="AF9" i="83"/>
  <c r="AF10" i="83" s="1"/>
  <c r="AE9" i="83"/>
  <c r="AE10" i="83" s="1"/>
  <c r="AD9" i="83"/>
  <c r="AC9" i="83"/>
  <c r="AB9" i="83"/>
  <c r="AB10" i="83" s="1"/>
  <c r="AA9" i="83"/>
  <c r="AA10" i="83" s="1"/>
  <c r="Z9" i="83"/>
  <c r="C9" i="83"/>
  <c r="E8" i="83"/>
  <c r="C7" i="83"/>
  <c r="G3" i="83"/>
  <c r="E26" i="83" s="1"/>
  <c r="I2" i="83"/>
  <c r="N12" i="83" s="1"/>
  <c r="G2" i="83"/>
  <c r="F41" i="83" s="1"/>
  <c r="D1" i="83"/>
  <c r="S3" i="83" l="1"/>
  <c r="N6" i="83"/>
  <c r="N4" i="83"/>
  <c r="S5" i="83"/>
  <c r="N9" i="83"/>
  <c r="N2" i="83"/>
  <c r="F61" i="83" s="1"/>
  <c r="M10" i="83"/>
  <c r="M6" i="83"/>
  <c r="M8" i="83"/>
  <c r="N10" i="83"/>
  <c r="H116" i="83"/>
  <c r="F42" i="83"/>
  <c r="F40" i="83"/>
  <c r="F38" i="83"/>
  <c r="F37" i="83"/>
  <c r="N21" i="83"/>
  <c r="J21" i="83"/>
  <c r="E21" i="83"/>
  <c r="S2" i="83"/>
  <c r="B116" i="83"/>
  <c r="H26" i="83"/>
  <c r="S4" i="83"/>
  <c r="E11" i="83"/>
  <c r="L21" i="83"/>
  <c r="M1" i="83"/>
  <c r="M7" i="83"/>
  <c r="N32" i="83"/>
  <c r="O32" i="83"/>
  <c r="F26" i="83"/>
  <c r="C27" i="83"/>
  <c r="F39" i="83"/>
  <c r="M3" i="83"/>
  <c r="M5" i="83"/>
  <c r="S6" i="83"/>
  <c r="X7" i="83"/>
  <c r="N8" i="83"/>
  <c r="E9" i="83"/>
  <c r="M11" i="83"/>
  <c r="M12" i="83"/>
  <c r="H21" i="83"/>
  <c r="M21" i="83"/>
  <c r="N1" i="83"/>
  <c r="M2" i="83"/>
  <c r="N3" i="83"/>
  <c r="M4" i="83"/>
  <c r="N5" i="83"/>
  <c r="C6" i="83"/>
  <c r="N7" i="83"/>
  <c r="Z7" i="83"/>
  <c r="M9" i="83"/>
  <c r="N11" i="83"/>
  <c r="C21" i="83"/>
  <c r="I21" i="83"/>
  <c r="O21" i="83"/>
  <c r="C24" i="83"/>
  <c r="I18" i="83"/>
  <c r="E17" i="83" s="1"/>
  <c r="G26" i="83"/>
  <c r="M32" i="83"/>
  <c r="E44" i="83"/>
  <c r="C44" i="83" s="1"/>
  <c r="F50" i="83"/>
  <c r="D21" i="83"/>
  <c r="K21" i="83"/>
  <c r="J26" i="83"/>
  <c r="P32" i="83"/>
  <c r="H72" i="83"/>
  <c r="H76" i="83"/>
  <c r="H79" i="83"/>
  <c r="H83" i="83"/>
  <c r="H87" i="83"/>
  <c r="H90" i="83"/>
  <c r="H94" i="83"/>
  <c r="H97" i="83"/>
  <c r="H100" i="83"/>
  <c r="H75" i="83"/>
  <c r="H78" i="83"/>
  <c r="H86" i="83"/>
  <c r="H89" i="83"/>
  <c r="H93" i="83"/>
  <c r="H96" i="83"/>
  <c r="H99" i="83"/>
  <c r="H74" i="83"/>
  <c r="H80" i="83"/>
  <c r="H85" i="83"/>
  <c r="H98" i="83"/>
  <c r="H73" i="83"/>
  <c r="H84" i="83"/>
  <c r="H95" i="83"/>
  <c r="N6" i="1"/>
  <c r="N7" i="1" s="1"/>
  <c r="D33" i="43"/>
  <c r="G51" i="43"/>
  <c r="G52" i="43"/>
  <c r="G53" i="43"/>
  <c r="G54" i="43"/>
  <c r="G55" i="43"/>
  <c r="G56" i="43"/>
  <c r="G57" i="43"/>
  <c r="G58" i="43"/>
  <c r="G50" i="43"/>
  <c r="B15" i="74"/>
  <c r="B14" i="74"/>
  <c r="H68" i="83" l="1"/>
  <c r="H61" i="83"/>
  <c r="H66" i="83"/>
  <c r="H64" i="83"/>
  <c r="H69" i="83"/>
  <c r="H67" i="83"/>
  <c r="H62" i="83"/>
  <c r="H65" i="83"/>
  <c r="H63" i="83"/>
  <c r="D26" i="83"/>
  <c r="C25" i="83" s="1"/>
  <c r="G21" i="83"/>
  <c r="I122" i="83"/>
  <c r="J122" i="83" s="1"/>
  <c r="K122" i="83" s="1"/>
  <c r="L122" i="83" s="1"/>
  <c r="M122" i="83" s="1"/>
  <c r="I121" i="83"/>
  <c r="J121" i="83" s="1"/>
  <c r="K121" i="83" s="1"/>
  <c r="L121" i="83" s="1"/>
  <c r="M121" i="83" s="1"/>
  <c r="I120" i="83"/>
  <c r="J120" i="83" s="1"/>
  <c r="K120" i="83" s="1"/>
  <c r="L120" i="83" s="1"/>
  <c r="M120" i="83" s="1"/>
  <c r="I119" i="83"/>
  <c r="J119" i="83" s="1"/>
  <c r="K119" i="83" s="1"/>
  <c r="L119" i="83" s="1"/>
  <c r="M119" i="83" s="1"/>
  <c r="I118" i="83"/>
  <c r="J118" i="83" s="1"/>
  <c r="K118" i="83" s="1"/>
  <c r="L118" i="83" s="1"/>
  <c r="M118" i="83" s="1"/>
  <c r="D122" i="83"/>
  <c r="E122" i="83" s="1"/>
  <c r="F122" i="83" s="1"/>
  <c r="G122" i="83" s="1"/>
  <c r="H122" i="83" s="1"/>
  <c r="D121" i="83"/>
  <c r="E121" i="83" s="1"/>
  <c r="F121" i="83" s="1"/>
  <c r="D120" i="83"/>
  <c r="E120" i="83" s="1"/>
  <c r="F120" i="83" s="1"/>
  <c r="G120" i="83" s="1"/>
  <c r="H120" i="83" s="1"/>
  <c r="D119" i="83"/>
  <c r="E119" i="83" s="1"/>
  <c r="F119" i="83" s="1"/>
  <c r="G119" i="83" s="1"/>
  <c r="H119" i="83" s="1"/>
  <c r="D118" i="83"/>
  <c r="E118" i="83" s="1"/>
  <c r="F118" i="83" s="1"/>
  <c r="G118" i="83" s="1"/>
  <c r="H118" i="83" s="1"/>
  <c r="G121" i="83"/>
  <c r="H121" i="83" s="1"/>
  <c r="B122" i="83"/>
  <c r="C122" i="83" s="1"/>
  <c r="B121" i="83"/>
  <c r="C121" i="83" s="1"/>
  <c r="B120" i="83"/>
  <c r="C120" i="83" s="1"/>
  <c r="B119" i="83"/>
  <c r="C119" i="83" s="1"/>
  <c r="B118" i="83"/>
  <c r="C118" i="83" s="1"/>
  <c r="D5" i="83"/>
  <c r="C5" i="83"/>
  <c r="D116" i="83"/>
  <c r="H54" i="83"/>
  <c r="G54" i="83" s="1"/>
  <c r="H53" i="83"/>
  <c r="G53" i="83" s="1"/>
  <c r="H52" i="83"/>
  <c r="G52" i="83" s="1"/>
  <c r="H51" i="83"/>
  <c r="G51" i="83" s="1"/>
  <c r="H50" i="83"/>
  <c r="G50" i="83" s="1"/>
  <c r="H58" i="83"/>
  <c r="G58" i="83" s="1"/>
  <c r="H55" i="83"/>
  <c r="G55" i="83" s="1"/>
  <c r="H56" i="83"/>
  <c r="G56" i="83" s="1"/>
  <c r="H57" i="83"/>
  <c r="G57" i="83" s="1"/>
  <c r="A120" i="82"/>
  <c r="A118" i="82"/>
  <c r="E111" i="82"/>
  <c r="H112" i="82" s="1"/>
  <c r="E109" i="82"/>
  <c r="A124" i="82" s="1"/>
  <c r="E107" i="82"/>
  <c r="A122" i="82" s="1"/>
  <c r="H106" i="82"/>
  <c r="H105" i="82"/>
  <c r="H104" i="82"/>
  <c r="H103" i="82"/>
  <c r="D120" i="82" s="1"/>
  <c r="D101" i="82"/>
  <c r="C101" i="82"/>
  <c r="D93" i="82"/>
  <c r="C91" i="82"/>
  <c r="E90" i="82"/>
  <c r="D89" i="82"/>
  <c r="C89" i="82" s="1"/>
  <c r="C87" i="82" s="1"/>
  <c r="D78" i="82"/>
  <c r="H77" i="82"/>
  <c r="D77" i="82"/>
  <c r="C77" i="82" s="1"/>
  <c r="C74" i="82" s="1"/>
  <c r="C76" i="82"/>
  <c r="D68" i="82"/>
  <c r="F59" i="82"/>
  <c r="E59" i="82"/>
  <c r="N55" i="82" s="1"/>
  <c r="N56" i="82"/>
  <c r="M56" i="82"/>
  <c r="K56" i="82"/>
  <c r="J56" i="82"/>
  <c r="F56" i="82"/>
  <c r="O55" i="82"/>
  <c r="K55" i="82"/>
  <c r="J55" i="82"/>
  <c r="J57" i="82" s="1"/>
  <c r="J59" i="82" s="1"/>
  <c r="J61" i="82" s="1"/>
  <c r="I55" i="82"/>
  <c r="F55" i="82"/>
  <c r="O53" i="82" s="1"/>
  <c r="O54" i="82"/>
  <c r="N54" i="82"/>
  <c r="F54" i="82"/>
  <c r="N53" i="82"/>
  <c r="F53" i="82"/>
  <c r="F52" i="82"/>
  <c r="K49" i="82"/>
  <c r="F48" i="82"/>
  <c r="O52" i="82" s="1"/>
  <c r="E48" i="82"/>
  <c r="N52" i="82" s="1"/>
  <c r="D48" i="82"/>
  <c r="M52" i="82" s="1"/>
  <c r="M47" i="82"/>
  <c r="F33" i="82"/>
  <c r="D27" i="82"/>
  <c r="C25" i="82"/>
  <c r="C24" i="82"/>
  <c r="M19" i="82"/>
  <c r="C118" i="82" s="1"/>
  <c r="L19" i="82"/>
  <c r="M18" i="82"/>
  <c r="B118" i="82" s="1"/>
  <c r="L18" i="82"/>
  <c r="D17" i="82"/>
  <c r="C17" i="82"/>
  <c r="L4" i="82"/>
  <c r="K4" i="82"/>
  <c r="A2" i="82"/>
  <c r="H1" i="82"/>
  <c r="I7" i="33"/>
  <c r="G7" i="33"/>
  <c r="E7" i="33"/>
  <c r="I7" i="34"/>
  <c r="G7" i="34"/>
  <c r="E7" i="34"/>
  <c r="B29" i="1"/>
  <c r="Q72" i="80"/>
  <c r="Q59" i="80"/>
  <c r="K59" i="80"/>
  <c r="P74" i="80" s="1"/>
  <c r="F59" i="80"/>
  <c r="Q58" i="80"/>
  <c r="Q51" i="80"/>
  <c r="J50" i="80"/>
  <c r="M47" i="80"/>
  <c r="D46" i="80"/>
  <c r="F34" i="80"/>
  <c r="F62" i="80" s="1"/>
  <c r="F33" i="80"/>
  <c r="F61" i="80" s="1"/>
  <c r="F31" i="80"/>
  <c r="F23" i="80"/>
  <c r="D24" i="80" s="1"/>
  <c r="F21" i="80"/>
  <c r="M20" i="80"/>
  <c r="F20" i="80"/>
  <c r="M19" i="80"/>
  <c r="F18" i="80"/>
  <c r="M17" i="80"/>
  <c r="F17" i="80"/>
  <c r="F15" i="80"/>
  <c r="G1" i="80"/>
  <c r="Y7" i="1"/>
  <c r="Y6" i="1"/>
  <c r="F20" i="6"/>
  <c r="F19" i="6"/>
  <c r="D3" i="4"/>
  <c r="D35" i="82"/>
  <c r="D34" i="82"/>
  <c r="C76" i="80"/>
  <c r="C18" i="82" l="1"/>
  <c r="D18" i="82" s="1"/>
  <c r="M55" i="83"/>
  <c r="N55" i="83" s="1"/>
  <c r="K55" i="83"/>
  <c r="M52" i="83"/>
  <c r="N52" i="83" s="1"/>
  <c r="K52" i="83"/>
  <c r="M56" i="83"/>
  <c r="N56" i="83" s="1"/>
  <c r="K56" i="83"/>
  <c r="M58" i="83"/>
  <c r="N58" i="83" s="1"/>
  <c r="K58" i="83"/>
  <c r="K53" i="83"/>
  <c r="M53" i="83"/>
  <c r="N53" i="83" s="1"/>
  <c r="M51" i="83"/>
  <c r="N51" i="83" s="1"/>
  <c r="K51" i="83"/>
  <c r="M57" i="83"/>
  <c r="N57" i="83" s="1"/>
  <c r="K57" i="83"/>
  <c r="J57" i="83" s="1"/>
  <c r="D57" i="83" s="1"/>
  <c r="M50" i="83"/>
  <c r="N50" i="83" s="1"/>
  <c r="K50" i="83"/>
  <c r="K54" i="83"/>
  <c r="M54" i="83"/>
  <c r="N54" i="83" s="1"/>
  <c r="C92" i="82"/>
  <c r="C94" i="82"/>
  <c r="D121" i="82"/>
  <c r="K120" i="82"/>
  <c r="H111" i="82"/>
  <c r="D126" i="82" s="1"/>
  <c r="D127" i="82" s="1"/>
  <c r="A126" i="82"/>
  <c r="H109" i="82"/>
  <c r="D23" i="80"/>
  <c r="D22" i="80"/>
  <c r="Q71" i="80"/>
  <c r="P61" i="80"/>
  <c r="J51" i="80"/>
  <c r="AB28" i="79"/>
  <c r="AA28" i="79"/>
  <c r="Z28" i="79"/>
  <c r="U28" i="79"/>
  <c r="N28" i="79"/>
  <c r="M28" i="79"/>
  <c r="P28" i="79" s="1"/>
  <c r="L28" i="79"/>
  <c r="S28" i="79" s="1"/>
  <c r="I28" i="79"/>
  <c r="AD28" i="79" s="1"/>
  <c r="AC5" i="79"/>
  <c r="AB5" i="79"/>
  <c r="AA5" i="79"/>
  <c r="AD5" i="79" s="1"/>
  <c r="Z5" i="79"/>
  <c r="Y5" i="79"/>
  <c r="O5" i="79"/>
  <c r="N5" i="79"/>
  <c r="M5" i="79"/>
  <c r="P5" i="79" s="1"/>
  <c r="L5" i="79"/>
  <c r="K5" i="79"/>
  <c r="I5" i="79"/>
  <c r="F13" i="80"/>
  <c r="F38" i="80"/>
  <c r="F16" i="80"/>
  <c r="F36" i="80"/>
  <c r="F43" i="80"/>
  <c r="F9" i="80"/>
  <c r="M28" i="80"/>
  <c r="J15" i="80"/>
  <c r="F8" i="80"/>
  <c r="M24" i="80"/>
  <c r="F42" i="80"/>
  <c r="M29" i="80"/>
  <c r="M6" i="80"/>
  <c r="M22" i="80"/>
  <c r="F40" i="80"/>
  <c r="M26" i="80"/>
  <c r="M8" i="80"/>
  <c r="L47" i="80"/>
  <c r="M9" i="80"/>
  <c r="F37" i="80"/>
  <c r="M27" i="80"/>
  <c r="F26" i="80"/>
  <c r="L48" i="80"/>
  <c r="M23" i="80"/>
  <c r="F7" i="80"/>
  <c r="F6" i="80"/>
  <c r="J58" i="83" l="1"/>
  <c r="D58" i="83"/>
  <c r="J52" i="83"/>
  <c r="D52" i="83"/>
  <c r="D50" i="83"/>
  <c r="J50" i="83"/>
  <c r="J51" i="83"/>
  <c r="D51" i="83"/>
  <c r="J56" i="83"/>
  <c r="D56" i="83"/>
  <c r="J55" i="83"/>
  <c r="D55" i="83"/>
  <c r="D54" i="83"/>
  <c r="J54" i="83"/>
  <c r="D53" i="83"/>
  <c r="J53" i="83"/>
  <c r="D124" i="82"/>
  <c r="D125" i="82" s="1"/>
  <c r="H110" i="82"/>
  <c r="M49" i="82"/>
  <c r="N59" i="80"/>
  <c r="L58" i="80"/>
  <c r="L59" i="80"/>
  <c r="F71" i="80"/>
  <c r="C27" i="80"/>
  <c r="M7" i="80"/>
  <c r="J6" i="80" s="1"/>
  <c r="F50" i="80"/>
  <c r="F68" i="80"/>
  <c r="F51" i="80"/>
  <c r="F65" i="80"/>
  <c r="C6" i="80"/>
  <c r="F66" i="80"/>
  <c r="L56" i="80"/>
  <c r="J53" i="80"/>
  <c r="J57" i="80"/>
  <c r="J55" i="80" s="1"/>
  <c r="J58" i="80" s="1"/>
  <c r="Q50" i="80" s="1"/>
  <c r="F64" i="80"/>
  <c r="I54" i="80"/>
  <c r="T28" i="79"/>
  <c r="W28" i="79" s="1"/>
  <c r="I8" i="79"/>
  <c r="C17" i="80"/>
  <c r="C16" i="80"/>
  <c r="C14" i="80"/>
  <c r="E50" i="83" l="1"/>
  <c r="B48" i="83" s="1"/>
  <c r="C28" i="83" s="1"/>
  <c r="L66" i="82"/>
  <c r="M66" i="82" s="1"/>
  <c r="L64" i="82"/>
  <c r="M64" i="82" s="1"/>
  <c r="L68" i="82"/>
  <c r="M68" i="82" s="1"/>
  <c r="L67" i="82"/>
  <c r="M67" i="82" s="1"/>
  <c r="L65" i="82"/>
  <c r="M65" i="82" s="1"/>
  <c r="L63" i="82"/>
  <c r="M63" i="82" s="1"/>
  <c r="M69" i="82" s="1"/>
  <c r="N69" i="82" s="1"/>
  <c r="C18" i="80"/>
  <c r="C15" i="80"/>
  <c r="Q61" i="80"/>
  <c r="Q74" i="80"/>
  <c r="Q73" i="80"/>
  <c r="Q60" i="80"/>
  <c r="F1" i="80"/>
  <c r="Q52" i="80"/>
  <c r="C49" i="80"/>
  <c r="I31" i="79"/>
  <c r="I30" i="79"/>
  <c r="N30" i="79"/>
  <c r="M30" i="79"/>
  <c r="P30" i="79" s="1"/>
  <c r="L30" i="79"/>
  <c r="N31" i="79"/>
  <c r="M31" i="79"/>
  <c r="L31" i="79"/>
  <c r="O7" i="79"/>
  <c r="N7" i="79"/>
  <c r="M7" i="79"/>
  <c r="P7" i="79" s="1"/>
  <c r="L7" i="79"/>
  <c r="K7" i="79"/>
  <c r="O8" i="79"/>
  <c r="N8" i="79"/>
  <c r="M8" i="79"/>
  <c r="P8" i="79" s="1"/>
  <c r="L8" i="79"/>
  <c r="K8" i="79"/>
  <c r="C33" i="83" l="1"/>
  <c r="T11" i="83"/>
  <c r="V11" i="83" s="1"/>
  <c r="T10" i="83"/>
  <c r="V10" i="83" s="1"/>
  <c r="T7" i="83"/>
  <c r="V7" i="83" s="1"/>
  <c r="C42" i="83"/>
  <c r="C38" i="83"/>
  <c r="C40" i="83"/>
  <c r="T15" i="83"/>
  <c r="V15" i="83" s="1"/>
  <c r="T13" i="83"/>
  <c r="V13" i="83" s="1"/>
  <c r="T4" i="83"/>
  <c r="V4" i="83" s="1"/>
  <c r="T14" i="83"/>
  <c r="V14" i="83" s="1"/>
  <c r="C37" i="83"/>
  <c r="C39" i="83"/>
  <c r="T16" i="83"/>
  <c r="V16" i="83" s="1"/>
  <c r="T8" i="83"/>
  <c r="V8" i="83" s="1"/>
  <c r="T2" i="83"/>
  <c r="V2" i="83" s="1"/>
  <c r="T5" i="83"/>
  <c r="V5" i="83" s="1"/>
  <c r="C41" i="83"/>
  <c r="T12" i="83"/>
  <c r="V12" i="83" s="1"/>
  <c r="T6" i="83"/>
  <c r="V6" i="83" s="1"/>
  <c r="T9" i="83"/>
  <c r="V9" i="83" s="1"/>
  <c r="T3" i="83"/>
  <c r="V3" i="83" s="1"/>
  <c r="C19" i="80"/>
  <c r="C20" i="80" s="1"/>
  <c r="P31" i="79"/>
  <c r="E40" i="83" l="1"/>
  <c r="G40" i="83"/>
  <c r="I40" i="83" s="1"/>
  <c r="E37" i="83"/>
  <c r="G37" i="83"/>
  <c r="I37" i="83" s="1"/>
  <c r="E38" i="83"/>
  <c r="G38" i="83"/>
  <c r="I38" i="83" s="1"/>
  <c r="G41" i="83"/>
  <c r="I41" i="83" s="1"/>
  <c r="E41" i="83"/>
  <c r="G39" i="83"/>
  <c r="I39" i="83" s="1"/>
  <c r="E39" i="83"/>
  <c r="E42" i="83"/>
  <c r="G42" i="83"/>
  <c r="I42" i="83" s="1"/>
  <c r="C34" i="83"/>
  <c r="E34" i="83" s="1"/>
  <c r="E33" i="83"/>
  <c r="C26" i="80"/>
  <c r="G14" i="73"/>
  <c r="F14" i="73"/>
  <c r="E14" i="73"/>
  <c r="C30" i="83" l="1"/>
  <c r="B2" i="83" s="1"/>
  <c r="B3" i="83" s="1"/>
  <c r="C31" i="83"/>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s="1"/>
  <c r="C22" i="20"/>
  <c r="B100" i="43" s="1"/>
  <c r="C25" i="40"/>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J51" i="67" s="1"/>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E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s="1"/>
  <c r="G16" i="20"/>
  <c r="B84" i="43"/>
  <c r="G15" i="20"/>
  <c r="B83" i="43"/>
  <c r="C24" i="20"/>
  <c r="B75" i="43"/>
  <c r="C21" i="20"/>
  <c r="B99" i="43" s="1"/>
  <c r="C20" i="20"/>
  <c r="B101" i="43" s="1"/>
  <c r="C18" i="20"/>
  <c r="B94" i="43" s="1"/>
  <c r="C17" i="20"/>
  <c r="B61" i="43" s="1"/>
  <c r="C16" i="20"/>
  <c r="C17" i="39" s="1"/>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G28" i="6" s="1"/>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C42" i="1"/>
  <c r="AC34" i="33"/>
  <c r="AA34" i="33"/>
  <c r="B41" i="1"/>
  <c r="F28" i="67"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97" i="3" s="1"/>
  <c r="BA13" i="3"/>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525" i="3"/>
  <c r="E534" i="3"/>
  <c r="E456" i="3"/>
  <c r="E451" i="3"/>
  <c r="E360" i="3"/>
  <c r="AP6" i="3"/>
  <c r="E517" i="3"/>
  <c r="E494" i="3"/>
  <c r="E491" i="3"/>
  <c r="E479" i="3"/>
  <c r="E26" i="3"/>
  <c r="E37" i="3"/>
  <c r="E152" i="3"/>
  <c r="E198" i="3"/>
  <c r="E192" i="3"/>
  <c r="E241" i="3"/>
  <c r="E243" i="3"/>
  <c r="E363" i="3"/>
  <c r="E389" i="3"/>
  <c r="AL6" i="3"/>
  <c r="E76" i="3"/>
  <c r="E409" i="3"/>
  <c r="E428" i="3"/>
  <c r="E425" i="3"/>
  <c r="E64" i="3"/>
  <c r="E96" i="3"/>
  <c r="E103" i="3"/>
  <c r="E142" i="3"/>
  <c r="E174" i="3"/>
  <c r="E267" i="3"/>
  <c r="E300" i="3"/>
  <c r="E324" i="3"/>
  <c r="E310" i="3"/>
  <c r="E23" i="3"/>
  <c r="E35" i="3"/>
  <c r="E67" i="3"/>
  <c r="E144" i="3"/>
  <c r="E206" i="3"/>
  <c r="E233" i="3"/>
  <c r="E381" i="3"/>
  <c r="AF6" i="3"/>
  <c r="E63" i="3"/>
  <c r="E118" i="3"/>
  <c r="E158" i="3"/>
  <c r="E283" i="3"/>
  <c r="E513" i="3"/>
  <c r="E22" i="3"/>
  <c r="AP7" i="1"/>
  <c r="AB45" i="21"/>
  <c r="AB9" i="21"/>
  <c r="U9" i="21"/>
  <c r="AA32" i="21"/>
  <c r="S32" i="21"/>
  <c r="W9" i="21"/>
  <c r="AC9" i="21"/>
  <c r="AB32" i="21"/>
  <c r="U32" i="21"/>
  <c r="A18" i="62"/>
  <c r="B64" i="72" s="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C76" i="67"/>
  <c r="F36" i="15"/>
  <c r="AO13" i="1"/>
  <c r="M6" i="15"/>
  <c r="E12" i="76"/>
  <c r="E9" i="76"/>
  <c r="M22" i="15"/>
  <c r="D34" i="9"/>
  <c r="F9" i="15"/>
  <c r="F38" i="15"/>
  <c r="D35" i="9"/>
  <c r="L48" i="67"/>
  <c r="F7" i="15"/>
  <c r="F37" i="15"/>
  <c r="J15" i="15"/>
  <c r="L48" i="15"/>
  <c r="F6" i="73"/>
  <c r="B9" i="76"/>
  <c r="F42" i="67"/>
  <c r="M9" i="67"/>
  <c r="B12" i="76"/>
  <c r="F36" i="67"/>
  <c r="B13" i="76"/>
  <c r="F8" i="67"/>
  <c r="F4" i="73"/>
  <c r="M26" i="15"/>
  <c r="F43" i="67"/>
  <c r="B10" i="76"/>
  <c r="E7" i="76"/>
  <c r="F7" i="67"/>
  <c r="F8" i="15"/>
  <c r="L47" i="67"/>
  <c r="J15" i="67"/>
  <c r="M28" i="15"/>
  <c r="B7" i="76"/>
  <c r="E13" i="76"/>
  <c r="M28" i="67"/>
  <c r="F6" i="15"/>
  <c r="F13" i="67"/>
  <c r="E10" i="76"/>
  <c r="F13" i="15"/>
  <c r="F38" i="67"/>
  <c r="B8" i="76"/>
  <c r="F3" i="73"/>
  <c r="F7" i="73"/>
  <c r="M22" i="67"/>
  <c r="F42" i="15"/>
  <c r="F9" i="67"/>
  <c r="M8" i="67"/>
  <c r="M24" i="15"/>
  <c r="F26" i="15"/>
  <c r="M8" i="15"/>
  <c r="M6" i="67"/>
  <c r="C76" i="15"/>
  <c r="L47" i="15"/>
  <c r="F16" i="15"/>
  <c r="F26" i="67"/>
  <c r="M26" i="67"/>
  <c r="F16" i="67"/>
  <c r="M24" i="67"/>
  <c r="M29" i="67"/>
  <c r="E8" i="76"/>
  <c r="M23" i="15"/>
  <c r="E11" i="76"/>
  <c r="F43" i="15"/>
  <c r="F40" i="67"/>
  <c r="B11" i="76"/>
  <c r="M9" i="15"/>
  <c r="M23" i="67"/>
  <c r="F6" i="67"/>
  <c r="F5" i="73"/>
  <c r="E2" i="68"/>
  <c r="F37" i="67"/>
  <c r="F20" i="31"/>
  <c r="F40" i="15"/>
  <c r="M29" i="15"/>
  <c r="E2" i="69"/>
  <c r="W8" i="34" l="1"/>
  <c r="S8" i="34"/>
  <c r="S28" i="33"/>
  <c r="C40" i="68"/>
  <c r="AB36" i="33"/>
  <c r="D68" i="9"/>
  <c r="F30" i="69"/>
  <c r="F48" i="69" s="1"/>
  <c r="F31" i="12"/>
  <c r="M18" i="15"/>
  <c r="M18" i="67"/>
  <c r="F30" i="11"/>
  <c r="C48" i="11" s="1"/>
  <c r="F28" i="15"/>
  <c r="F32" i="67"/>
  <c r="F60" i="67" s="1"/>
  <c r="C24" i="12"/>
  <c r="C33" i="80"/>
  <c r="J19" i="80"/>
  <c r="C61" i="80"/>
  <c r="F48" i="9"/>
  <c r="O52" i="9" s="1"/>
  <c r="F32" i="80"/>
  <c r="M18" i="80"/>
  <c r="J18" i="80" s="1"/>
  <c r="F28" i="80"/>
  <c r="C28" i="80" s="1"/>
  <c r="C40" i="69"/>
  <c r="C21" i="68"/>
  <c r="F34" i="68"/>
  <c r="M59" i="80"/>
  <c r="E308" i="3"/>
  <c r="E80" i="3"/>
  <c r="E251" i="3"/>
  <c r="E34" i="3"/>
  <c r="E342" i="3"/>
  <c r="E275" i="3"/>
  <c r="E129" i="3"/>
  <c r="E412" i="3"/>
  <c r="E94" i="3"/>
  <c r="E391" i="3"/>
  <c r="E225" i="3"/>
  <c r="E41" i="3"/>
  <c r="E470" i="3"/>
  <c r="E497" i="3"/>
  <c r="E469" i="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36" i="3"/>
  <c r="E148" i="3"/>
  <c r="E212" i="3"/>
  <c r="E199" i="3"/>
  <c r="E286" i="3"/>
  <c r="E499" i="3"/>
  <c r="R6" i="3"/>
  <c r="E502" i="3"/>
  <c r="E466" i="3"/>
  <c r="E541" i="3"/>
  <c r="E449" i="3"/>
  <c r="E25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39" i="3"/>
  <c r="E575" i="3"/>
  <c r="E442" i="3"/>
  <c r="E430" i="3"/>
  <c r="E140" i="3"/>
  <c r="E83" i="3"/>
  <c r="E326" i="3"/>
  <c r="E287" i="3"/>
  <c r="E113" i="3"/>
  <c r="E102" i="3"/>
  <c r="E370" i="3"/>
  <c r="E232" i="3"/>
  <c r="E49" i="3"/>
  <c r="E86" i="3"/>
  <c r="E522" i="3"/>
  <c r="E383" i="3"/>
  <c r="E235" i="3"/>
  <c r="E220" i="3"/>
  <c r="E190" i="3"/>
  <c r="E78" i="3"/>
  <c r="E18" i="3"/>
  <c r="E482" i="3"/>
  <c r="E75" i="3"/>
  <c r="E42" i="3"/>
  <c r="E356" i="3"/>
  <c r="E332" i="3"/>
  <c r="E281" i="3"/>
  <c r="E139" i="3"/>
  <c r="E115" i="3"/>
  <c r="E104" i="3"/>
  <c r="E420" i="3"/>
  <c r="E452" i="3"/>
  <c r="E13" i="3"/>
  <c r="E556" i="3"/>
  <c r="E408" i="3"/>
  <c r="E405" i="3"/>
  <c r="E369" i="3"/>
  <c r="E296" i="3"/>
  <c r="E21" i="3"/>
  <c r="E309" i="3"/>
  <c r="E264" i="3"/>
  <c r="E81" i="3"/>
  <c r="E68" i="3"/>
  <c r="E355" i="3"/>
  <c r="E184" i="3"/>
  <c r="E33" i="3"/>
  <c r="E84" i="3"/>
  <c r="E492" i="3"/>
  <c r="E371" i="3"/>
  <c r="E249" i="3"/>
  <c r="E200" i="3"/>
  <c r="E160" i="3"/>
  <c r="E46" i="3"/>
  <c r="E467" i="3"/>
  <c r="E484" i="3"/>
  <c r="E59" i="3"/>
  <c r="E544" i="3"/>
  <c r="E349" i="3"/>
  <c r="E292" i="3"/>
  <c r="E258" i="3"/>
  <c r="E132" i="3"/>
  <c r="E95" i="3"/>
  <c r="E56" i="3"/>
  <c r="E417" i="3"/>
  <c r="E435" i="3"/>
  <c r="E554" i="3"/>
  <c r="I3" i="6"/>
  <c r="E512" i="3"/>
  <c r="T6" i="3"/>
  <c r="E173" i="3"/>
  <c r="E205" i="3"/>
  <c r="BA5" i="3"/>
  <c r="F29" i="6"/>
  <c r="D21" i="53"/>
  <c r="B39" i="72" s="1"/>
  <c r="D19" i="53"/>
  <c r="B38" i="72" s="1"/>
  <c r="J1" i="73"/>
  <c r="B79" i="43"/>
  <c r="B57" i="43"/>
  <c r="C29" i="39"/>
  <c r="B77" i="43"/>
  <c r="B73" i="43"/>
  <c r="B76" i="43"/>
  <c r="B68" i="43"/>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O23" i="43"/>
  <c r="I18" i="43"/>
  <c r="E17" i="43" s="1"/>
  <c r="C17" i="43" s="1"/>
  <c r="H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F27" i="69"/>
  <c r="D9" i="69"/>
  <c r="C36" i="69"/>
  <c r="C36" i="68"/>
  <c r="D9" i="68"/>
  <c r="D7" i="73"/>
  <c r="D6" i="73"/>
  <c r="C16" i="67"/>
  <c r="D4" i="73"/>
  <c r="D5" i="73"/>
  <c r="D3" i="73"/>
  <c r="C16" i="15"/>
  <c r="F60" i="80" l="1"/>
  <c r="C32" i="80"/>
  <c r="M11" i="80"/>
  <c r="J10" i="80" s="1"/>
  <c r="J5" i="80" s="1"/>
  <c r="F11" i="80"/>
  <c r="E26" i="43"/>
  <c r="G26" i="43"/>
  <c r="N94" i="46"/>
  <c r="J26" i="43"/>
  <c r="N370" i="46"/>
  <c r="E59" i="40"/>
  <c r="P6" i="1"/>
  <c r="C13" i="12" s="1"/>
  <c r="K16" i="1"/>
  <c r="D18" i="53"/>
  <c r="B35" i="72" s="1"/>
  <c r="C7" i="74"/>
  <c r="K1" i="73"/>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8" i="1"/>
  <c r="AE12" i="1"/>
  <c r="AE10" i="1"/>
  <c r="F27" i="68"/>
  <c r="AE6" i="1"/>
  <c r="G1" i="73"/>
  <c r="AE7" i="1"/>
  <c r="C53" i="80" l="1"/>
  <c r="C48" i="80" s="1"/>
  <c r="C10" i="80"/>
  <c r="C5" i="80" s="1"/>
  <c r="J24" i="80"/>
  <c r="J26" i="80"/>
  <c r="E65" i="39"/>
  <c r="B40" i="1"/>
  <c r="E69"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41" i="80"/>
  <c r="M27" i="67"/>
  <c r="F41" i="67"/>
  <c r="F41" i="15"/>
  <c r="M27" i="15"/>
  <c r="F69" i="80" l="1"/>
  <c r="J29" i="80"/>
  <c r="F24" i="67"/>
  <c r="C24" i="67" s="1"/>
  <c r="L36" i="83"/>
  <c r="F69" i="67"/>
  <c r="R50" i="34"/>
  <c r="C50" i="34" s="1"/>
  <c r="F22" i="68"/>
  <c r="F41" i="68" s="1"/>
  <c r="F25" i="12"/>
  <c r="C26" i="12" s="1"/>
  <c r="D25" i="12" s="1"/>
  <c r="F22" i="11"/>
  <c r="E49" i="34"/>
  <c r="E53" i="34" s="1"/>
  <c r="F53" i="34" s="1"/>
  <c r="L36" i="43"/>
  <c r="L37" i="43" s="1"/>
  <c r="M37" i="43" s="1"/>
  <c r="F24" i="80"/>
  <c r="C38" i="80"/>
  <c r="C66" i="80"/>
  <c r="C60" i="80"/>
  <c r="F24" i="15"/>
  <c r="C24" i="15" s="1"/>
  <c r="F22" i="69"/>
  <c r="F41" i="69" s="1"/>
  <c r="D116" i="43"/>
  <c r="O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C60" i="15"/>
  <c r="C66" i="67"/>
  <c r="C60" i="67"/>
  <c r="C34" i="69"/>
  <c r="D10" i="69"/>
  <c r="D10" i="68"/>
  <c r="C17" i="67"/>
  <c r="C17" i="15"/>
  <c r="C14" i="67"/>
  <c r="C26" i="68" l="1"/>
  <c r="D22" i="68" s="1"/>
  <c r="C44" i="68"/>
  <c r="D41" i="68" s="1"/>
  <c r="C49" i="34"/>
  <c r="I54" i="34"/>
  <c r="J54" i="34" s="1"/>
  <c r="E54" i="34"/>
  <c r="F54" i="34" s="1"/>
  <c r="C25" i="11"/>
  <c r="O36" i="83"/>
  <c r="L37" i="83"/>
  <c r="P36" i="83"/>
  <c r="Q36" i="83"/>
  <c r="N36" i="83"/>
  <c r="M36" i="83"/>
  <c r="C24" i="11"/>
  <c r="C23" i="11"/>
  <c r="C26" i="11"/>
  <c r="D22" i="11" s="1"/>
  <c r="C44" i="11"/>
  <c r="D41" i="11" s="1"/>
  <c r="N37" i="43"/>
  <c r="N36" i="43"/>
  <c r="Q36" i="43"/>
  <c r="P37" i="43"/>
  <c r="O36" i="43"/>
  <c r="Q37" i="43"/>
  <c r="M36" i="43"/>
  <c r="P36" i="43"/>
  <c r="C44" i="69"/>
  <c r="D41" i="69" s="1"/>
  <c r="C24" i="80"/>
  <c r="C23" i="80"/>
  <c r="C26" i="69"/>
  <c r="D22" i="69" s="1"/>
  <c r="H22" i="6"/>
  <c r="H25" i="6"/>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F35" i="80"/>
  <c r="C14" i="15"/>
  <c r="M21" i="80"/>
  <c r="C22" i="11" l="1"/>
  <c r="B3" i="43"/>
  <c r="O37" i="83"/>
  <c r="P37" i="83"/>
  <c r="N37" i="83"/>
  <c r="M37" i="83"/>
  <c r="Q37" i="83"/>
  <c r="C31" i="11"/>
  <c r="C29" i="80"/>
  <c r="Q49" i="80" s="1"/>
  <c r="J20" i="80"/>
  <c r="J17" i="80" s="1"/>
  <c r="F63" i="80"/>
  <c r="C62" i="80" s="1"/>
  <c r="C59" i="80" s="1"/>
  <c r="C34" i="80"/>
  <c r="C31" i="80"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57" i="80" l="1"/>
  <c r="C64" i="80" s="1"/>
  <c r="J14" i="80"/>
  <c r="J13" i="80" s="1"/>
  <c r="J23" i="80" s="1"/>
  <c r="C36" i="80"/>
  <c r="J59" i="80"/>
  <c r="J60" i="80" s="1"/>
  <c r="Q48" i="80" s="1"/>
  <c r="C7" i="68"/>
  <c r="C5" i="68" s="1"/>
  <c r="C13" i="80"/>
  <c r="C56" i="80" s="1"/>
  <c r="C65" i="80" s="1"/>
  <c r="C58" i="80" s="1"/>
  <c r="C67" i="80" s="1"/>
  <c r="C68" i="80"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B3" i="76"/>
  <c r="J69" i="39"/>
  <c r="K67" i="39"/>
  <c r="U7" i="21"/>
  <c r="AB7" i="21"/>
  <c r="T48" i="21" s="1"/>
  <c r="G48" i="21" s="1"/>
  <c r="J63" i="40"/>
  <c r="I65" i="40"/>
  <c r="K48" i="35"/>
  <c r="L48" i="35" s="1"/>
  <c r="M48" i="35" s="1"/>
  <c r="N48" i="35" s="1"/>
  <c r="O48" i="35" s="1"/>
  <c r="H7" i="35" s="1"/>
  <c r="C23" i="68" l="1"/>
  <c r="C20" i="68"/>
  <c r="C28" i="68" s="1"/>
  <c r="C27" i="68" s="1"/>
  <c r="C37" i="80"/>
  <c r="C30" i="80" s="1"/>
  <c r="C39" i="80" s="1"/>
  <c r="I39" i="80" s="1"/>
  <c r="J22" i="80"/>
  <c r="J16" i="80" s="1"/>
  <c r="J25" i="80" s="1"/>
  <c r="Q70" i="80"/>
  <c r="C75" i="80"/>
  <c r="C40" i="80"/>
  <c r="C45" i="80" s="1"/>
  <c r="C46" i="80" s="1"/>
  <c r="Q69" i="80"/>
  <c r="C71" i="80"/>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L51" i="80"/>
  <c r="F35" i="67"/>
  <c r="F35" i="15"/>
  <c r="M21" i="67"/>
  <c r="C80" i="80" l="1"/>
  <c r="C79" i="80" s="1"/>
  <c r="Q68" i="80"/>
  <c r="Q67" i="80"/>
  <c r="L57" i="80"/>
  <c r="L60" i="80" s="1"/>
  <c r="L46" i="80" s="1"/>
  <c r="D2" i="80" s="1"/>
  <c r="Q47" i="80"/>
  <c r="Q53" i="80" s="1"/>
  <c r="C43" i="80"/>
  <c r="Q65" i="80"/>
  <c r="Q56" i="80"/>
  <c r="C83" i="80"/>
  <c r="C82" i="80"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B3" i="68"/>
  <c r="B3" i="80" l="1"/>
  <c r="B2" i="80"/>
  <c r="Q66" i="80"/>
  <c r="Q75" i="80" s="1"/>
  <c r="Q57" i="80"/>
  <c r="Q62" i="80"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I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4"/>
  <c r="D2" i="37"/>
  <c r="D2" i="36"/>
  <c r="C19" i="9"/>
  <c r="D2" i="35"/>
  <c r="D19" i="82"/>
  <c r="D19" i="9"/>
  <c r="D21" i="82" l="1"/>
  <c r="D102" i="82"/>
  <c r="C102" i="9"/>
  <c r="C21" i="9"/>
  <c r="B3" i="33"/>
  <c r="D102" i="9"/>
  <c r="G19" i="9"/>
  <c r="D2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82"/>
  <c r="AO11" i="1"/>
  <c r="AO8" i="1"/>
  <c r="D20" i="9"/>
  <c r="AO6" i="1"/>
  <c r="D20" i="82"/>
  <c r="AO10" i="1"/>
  <c r="AO7" i="1"/>
  <c r="AO12" i="1"/>
  <c r="C20" i="9"/>
  <c r="AO9" i="1"/>
  <c r="C102" i="82" l="1"/>
  <c r="C21" i="82"/>
  <c r="G19" i="82"/>
  <c r="G21" i="82" s="1"/>
  <c r="D22" i="82"/>
  <c r="B3" i="34"/>
  <c r="G21" i="9"/>
  <c r="D14" i="74"/>
  <c r="D103" i="82"/>
  <c r="C103" i="9"/>
  <c r="D103" i="9"/>
  <c r="G20" i="9"/>
  <c r="C32" i="9" s="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82"/>
  <c r="D15" i="74" l="1"/>
  <c r="C103" i="82"/>
  <c r="G20" i="82"/>
  <c r="C32" i="82" s="1"/>
  <c r="C35" i="82" s="1"/>
  <c r="C34" i="82" s="1"/>
  <c r="F15" i="74"/>
  <c r="E15" i="74"/>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49" i="9"/>
  <c r="L64" i="9" s="1"/>
  <c r="M64" i="9" s="1"/>
  <c r="L65" i="9" l="1"/>
  <c r="M65" i="9" s="1"/>
  <c r="L66" i="9"/>
  <c r="M66" i="9" s="1"/>
  <c r="L68" i="9"/>
  <c r="M68" i="9" s="1"/>
  <c r="L63" i="9"/>
  <c r="M63" i="9" s="1"/>
  <c r="M69" i="9" s="1"/>
  <c r="N69" i="9" s="1"/>
  <c r="L67" i="9"/>
  <c r="M67" i="9" s="1"/>
  <c r="C5" i="74"/>
  <c r="P57" i="82" l="1"/>
  <c r="N58" i="82"/>
  <c r="N60" i="82"/>
  <c r="N59" i="82"/>
  <c r="N61" i="82"/>
  <c r="M48" i="9"/>
  <c r="C105" i="9"/>
  <c r="I4" i="52"/>
  <c r="D123" i="82"/>
  <c r="B22" i="72"/>
  <c r="D53" i="82"/>
  <c r="D52" i="82"/>
  <c r="D54" i="82"/>
  <c r="M48" i="82"/>
  <c r="D6" i="53"/>
  <c r="D5" i="53"/>
  <c r="B20" i="72"/>
  <c r="C86" i="9"/>
  <c r="H119" i="82"/>
  <c r="C104" i="82"/>
  <c r="C93" i="9"/>
  <c r="D53" i="9"/>
  <c r="D52" i="9"/>
  <c r="H102" i="82"/>
  <c r="C105" i="82"/>
  <c r="M55" i="9"/>
  <c r="E81" i="82"/>
  <c r="B32" i="72"/>
  <c r="B21" i="72"/>
  <c r="C81" i="82"/>
  <c r="B51" i="72"/>
  <c r="C68" i="82"/>
  <c r="G4" i="52"/>
  <c r="B52" i="72"/>
  <c r="P57" i="9"/>
  <c r="N58" i="9"/>
  <c r="D122" i="82"/>
  <c r="H107" i="82"/>
  <c r="H108" i="82"/>
  <c r="N61" i="9"/>
  <c r="N59" i="9"/>
  <c r="N60" i="9"/>
  <c r="H5" i="52"/>
  <c r="D59" i="9"/>
  <c r="M54" i="9"/>
  <c r="G118" i="82"/>
  <c r="F118" i="82"/>
  <c r="F119" i="82"/>
  <c r="E97" i="9"/>
  <c r="E81" i="9"/>
  <c r="C80" i="82"/>
  <c r="E80" i="82"/>
  <c r="D59" i="82"/>
  <c r="M55" i="82"/>
  <c r="D55" i="9"/>
  <c r="M53" i="9"/>
  <c r="N57" i="9"/>
  <c r="D8" i="52"/>
  <c r="C81" i="9"/>
  <c r="B47" i="72"/>
  <c r="D4" i="52"/>
  <c r="C78" i="9"/>
  <c r="C73" i="9"/>
  <c r="D56" i="82"/>
  <c r="M54" i="82"/>
  <c r="C6" i="74"/>
  <c r="H102" i="9"/>
  <c r="D7" i="53"/>
  <c r="C72" i="82"/>
  <c r="C79" i="82"/>
  <c r="F4" i="52"/>
  <c r="C64" i="82"/>
  <c r="C63" i="82"/>
  <c r="C67" i="82"/>
  <c r="C104" i="9"/>
  <c r="H4" i="52"/>
  <c r="H119" i="9"/>
  <c r="C96" i="9"/>
  <c r="E96" i="9"/>
  <c r="C72" i="9"/>
  <c r="C79" i="9"/>
  <c r="C80" i="9"/>
  <c r="E80" i="9"/>
  <c r="C78" i="82"/>
  <c r="C73" i="82"/>
  <c r="E118" i="82"/>
  <c r="D118" i="82"/>
  <c r="D119" i="82"/>
  <c r="D122" i="9"/>
  <c r="D123" i="9"/>
  <c r="D9" i="52"/>
  <c r="C93" i="82"/>
  <c r="C86" i="82"/>
  <c r="B53" i="72"/>
  <c r="C97" i="82"/>
  <c r="D58" i="82"/>
  <c r="D14" i="53"/>
  <c r="D13" i="53"/>
  <c r="B30" i="72"/>
  <c r="C64" i="9"/>
  <c r="C63" i="9"/>
  <c r="C67" i="9"/>
  <c r="C68" i="9"/>
  <c r="D54" i="9"/>
  <c r="E4" i="52"/>
  <c r="B48" i="72"/>
  <c r="G118" i="9"/>
  <c r="F118" i="9"/>
  <c r="F119" i="9"/>
  <c r="F5" i="52"/>
  <c r="C96" i="82"/>
  <c r="E96" i="82"/>
  <c r="E97" i="82"/>
  <c r="D45" i="9"/>
  <c r="C85" i="9"/>
  <c r="C95" i="9"/>
  <c r="C97" i="9"/>
  <c r="D58" i="9"/>
  <c r="D56" i="9"/>
  <c r="H101" i="9"/>
  <c r="H107" i="9"/>
  <c r="H108" i="9"/>
  <c r="D15" i="53"/>
  <c r="B31" i="72"/>
  <c r="H118" i="9"/>
  <c r="I118" i="9"/>
  <c r="E118" i="9"/>
  <c r="D118" i="9"/>
  <c r="D119" i="9"/>
  <c r="D5" i="52"/>
  <c r="B49" i="72"/>
  <c r="C85" i="82"/>
  <c r="C95" i="82"/>
  <c r="I118" i="82"/>
  <c r="H118" i="82"/>
  <c r="H101" i="82"/>
  <c r="D45" i="82"/>
  <c r="D55" i="82"/>
  <c r="M53" i="82"/>
  <c r="N57"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<sst xmlns="http://schemas.openxmlformats.org/spreadsheetml/2006/main" count="8898" uniqueCount="3419">
  <si>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</si>
  <si>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</si>
  <si>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</si>
  <si>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</si>
  <si>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</si>
  <si>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</si>
  <si>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</si>
  <si>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</si>
  <si>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</si>
  <si>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</si>
  <si>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</si>
  <si>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</si>
  <si>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</si>
  <si>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</si>
  <si>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</si>
  <si>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</si>
  <si>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</si>
  <si>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</si>
  <si>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</si>
  <si>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</si>
  <si>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</si>
  <si>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</si>
  <si>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</si>
  <si>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</si>
  <si>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</si>
  <si>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</si>
  <si>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</si>
  <si>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</si>
  <si>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</si>
  <si>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</si>
  <si>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</si>
  <si>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</si>
  <si>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</si>
  <si>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</si>
  <si>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</si>
  <si>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</si>
  <si>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</si>
  <si>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</si>
  <si>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</si>
  <si>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</si>
  <si>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</si>
  <si>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</si>
  <si>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</si>
  <si>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</si>
  <si>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</si>
  <si>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</si>
  <si>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</si>
  <si>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</si>
  <si>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</si>
  <si>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</si>
  <si>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</si>
  <si>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</si>
  <si>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</si>
  <si>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</si>
  <si>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</si>
  <si>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</si>
  <si>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</si>
  <si>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</si>
  <si>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</si>
  <si>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</si>
  <si>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</si>
  <si>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</si>
  <si>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</si>
  <si>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</si>
  <si>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</si>
  <si>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</si>
  <si>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</si>
  <si>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</si>
  <si>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</si>
  <si>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</si>
  <si>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</si>
  <si>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</si>
  <si>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</si>
  <si>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</si>
  <si>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</si>
  <si>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</si>
  <si>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</si>
  <si>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</si>
  <si>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</si>
  <si>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</si>
  <si>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</si>
  <si>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</si>
  <si>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</si>
  <si>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</si>
  <si>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</si>
  <si>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</si>
  <si>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</si>
  <si>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</si>
  <si>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</si>
  <si>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</si>
  <si>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</si>
  <si>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</si>
  <si>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</si>
  <si>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</si>
  <si>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</si>
  <si>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</si>
  <si>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</si>
  <si>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</si>
  <si>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</si>
  <si>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</si>
  <si>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</si>
  <si>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</si>
  <si>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</si>
  <si>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</si>
  <si>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</si>
  <si>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</si>
  <si>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</si>
  <si>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</si>
  <si>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</si>
  <si>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</si>
  <si>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</si>
  <si>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</si>
  <si>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</si>
  <si>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</si>
  <si>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</si>
  <si>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</si>
  <si>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</si>
  <si>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</si>
  <si>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</si>
  <si>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</si>
  <si>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</si>
  <si>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</si>
  <si>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</si>
  <si>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</si>
  <si>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</si>
  <si>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</si>
  <si>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</si>
  <si>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</si>
  <si>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</si>
  <si>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</si>
  <si>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</si>
  <si>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</si>
  <si>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</si>
  <si>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</si>
  <si>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</si>
  <si>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</si>
  <si>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</si>
  <si>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</si>
  <si>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</si>
  <si>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</si>
  <si>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</si>
  <si>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</si>
  <si>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</si>
  <si>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</si>
  <si>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</si>
  <si>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</si>
  <si>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</si>
  <si>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</si>
  <si>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</si>
  <si>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</si>
  <si>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</si>
  <si>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</si>
  <si>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</si>
  <si>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</si>
  <si>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</si>
  <si>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</si>
  <si>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</si>
  <si>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</si>
  <si>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</si>
  <si>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</si>
  <si>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</si>
  <si>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</si>
  <si>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</si>
  <si>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</si>
  <si>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</si>
  <si>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</si>
  <si>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</si>
  <si>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</si>
  <si>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</si>
  <si>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</si>
  <si>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</si>
  <si>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</si>
  <si>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</si>
  <si>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</si>
  <si>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</si>
  <si>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</si>
  <si>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</si>
  <si>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</si>
  <si>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</si>
  <si>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</si>
  <si>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</si>
  <si>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</si>
  <si>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</si>
  <si>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</si>
  <si>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</si>
  <si>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</si>
  <si>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</si>
  <si>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</si>
  <si>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</si>
  <si>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</si>
  <si>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</si>
  <si>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</si>
  <si>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</si>
  <si>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</si>
  <si>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</si>
  <si>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</si>
  <si>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</si>
  <si>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</si>
  <si>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</si>
  <si>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</si>
  <si>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</si>
  <si>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</si>
  <si>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</si>
  <si>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</si>
  <si>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</si>
  <si>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</si>
  <si>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</si>
  <si>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</si>
  <si>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</si>
  <si>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</si>
  <si>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</si>
  <si>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</si>
  <si>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</si>
  <si>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</si>
  <si>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</si>
  <si>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</si>
  <si>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</si>
  <si>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</si>
  <si>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</si>
  <si>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</si>
  <si>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</si>
  <si>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</si>
  <si>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</si>
  <si>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</si>
  <si>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</si>
  <si>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</si>
  <si>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</si>
  <si>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</si>
  <si>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</si>
  <si>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</si>
  <si>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</si>
  <si>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</si>
  <si>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</si>
  <si>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</si>
  <si>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</si>
  <si>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</si>
  <si>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</si>
  <si>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</si>
  <si>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</si>
  <si>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</si>
  <si>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</si>
  <si>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</si>
  <si>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</si>
  <si>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</si>
  <si>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</si>
  <si>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</si>
  <si>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</si>
  <si>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</si>
  <si>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</si>
  <si>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</si>
  <si>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</si>
  <si>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</si>
  <si>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</si>
  <si>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</si>
  <si>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</si>
  <si>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</si>
  <si>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</si>
  <si>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</si>
  <si>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</si>
  <si>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</si>
  <si>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</si>
  <si>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</si>
  <si>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</si>
  <si>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</si>
  <si>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</si>
  <si>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</si>
  <si>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</si>
  <si>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</si>
  <si>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</si>
  <si>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</si>
  <si>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</si>
  <si>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</si>
  <si>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</si>
  <si>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</si>
  <si>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</si>
  <si>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</si>
  <si>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</si>
  <si>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</si>
  <si>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</si>
  <si>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</si>
  <si>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</si>
  <si>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</si>
  <si>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</si>
  <si>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</si>
  <si>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</si>
  <si>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</si>
  <si>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</si>
  <si>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</si>
  <si>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</si>
  <si>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</si>
  <si>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</si>
  <si>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</si>
  <si>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</si>
  <si>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</si>
  <si>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</si>
  <si>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</si>
  <si>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</si>
  <si>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</si>
  <si>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</si>
  <si>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</si>
  <si>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</si>
  <si>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</si>
  <si>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</si>
  <si>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</si>
  <si>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</si>
  <si>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</si>
  <si>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</si>
  <si>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</si>
  <si>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</si>
  <si>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</si>
  <si>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</si>
  <si>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</si>
  <si>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</si>
  <si>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</si>
  <si>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</si>
  <si>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</si>
  <si>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</si>
  <si>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</si>
  <si>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</si>
  <si>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</si>
  <si>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</si>
  <si>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</si>
  <si>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</si>
  <si>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</si>
  <si>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</si>
  <si>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</si>
  <si>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</si>
  <si>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</si>
  <si>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</si>
  <si>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</si>
  <si>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</si>
  <si>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</si>
  <si>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</si>
  <si>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</si>
  <si>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</si>
  <si>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</si>
  <si>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</si>
  <si>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</si>
  <si>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</si>
  <si>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</si>
  <si>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</si>
  <si>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</si>
  <si>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</si>
  <si>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</si>
  <si>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</si>
  <si>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</si>
  <si>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</si>
  <si>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</si>
  <si>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</si>
  <si>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</si>
  <si>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</si>
  <si>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</si>
  <si>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</si>
  <si>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</si>
  <si>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</si>
  <si>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</si>
  <si>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</si>
  <si>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</si>
  <si>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</si>
  <si>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</si>
  <si>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</si>
  <si>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</si>
  <si>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</si>
  <si>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</si>
  <si>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</si>
  <si>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</si>
  <si>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</si>
  <si>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</si>
  <si>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</si>
  <si>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</si>
  <si>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</si>
  <si>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</si>
  <si>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</si>
  <si>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</si>
  <si>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</si>
  <si>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</si>
  <si>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</si>
  <si>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</si>
  <si>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</si>
  <si>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</si>
  <si>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</si>
  <si>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</si>
  <si>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</si>
  <si>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</si>
  <si>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</si>
  <si>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</si>
  <si>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</si>
  <si>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</si>
  <si>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</si>
  <si>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</si>
  <si>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</si>
  <si>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</si>
  <si>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</si>
  <si>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</si>
  <si>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</si>
  <si>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</si>
  <si>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</si>
  <si>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</si>
  <si>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</si>
  <si>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</si>
  <si>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</si>
  <si>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</si>
  <si>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</si>
  <si>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</si>
  <si>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</si>
  <si>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</si>
  <si>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</si>
  <si>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</si>
  <si>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</si>
  <si>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</si>
  <si>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</si>
  <si>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</si>
  <si>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</si>
  <si>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</si>
  <si>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</si>
  <si>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</si>
  <si>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</si>
  <si>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</si>
  <si>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</si>
  <si>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</si>
  <si>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</si>
  <si>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</si>
  <si>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</si>
  <si>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</si>
  <si>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</si>
  <si>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</si>
  <si>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</si>
  <si>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</si>
  <si>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</si>
  <si>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</si>
  <si>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</si>
  <si>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</si>
  <si>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</si>
  <si>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</si>
  <si>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</si>
  <si>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</si>
  <si>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</si>
  <si>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</si>
  <si>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</si>
  <si>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</si>
  <si>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</si>
  <si>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</si>
  <si>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</si>
  <si>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</si>
  <si>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</si>
  <si>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</si>
  <si>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</si>
  <si>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</si>
  <si>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</si>
  <si>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</si>
  <si>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</si>
  <si>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</si>
  <si>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</si>
  <si>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</si>
  <si>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</si>
  <si>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</si>
  <si>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</si>
  <si>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</si>
  <si>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</si>
  <si>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</si>
  <si>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</si>
  <si>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</si>
  <si>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</si>
  <si>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</si>
  <si>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</si>
  <si>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</si>
  <si>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</si>
  <si>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</si>
  <si>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</si>
  <si>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</si>
  <si>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</si>
  <si>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</si>
  <si>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</si>
  <si>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</si>
  <si>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</si>
  <si>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</si>
  <si>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</si>
  <si>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</si>
  <si>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</si>
  <si>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</si>
  <si>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</si>
  <si>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</si>
  <si>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</si>
  <si>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</si>
  <si>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</si>
  <si>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</si>
  <si>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</si>
  <si>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</si>
  <si>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</si>
  <si>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</si>
  <si>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</si>
  <si>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</si>
  <si>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</si>
  <si>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</si>
  <si>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</si>
  <si>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</si>
  <si>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</si>
  <si>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</si>
  <si>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</si>
  <si>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</si>
  <si>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</si>
  <si>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</si>
  <si>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</si>
  <si>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</si>
  <si>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</si>
  <si>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</si>
  <si>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</si>
  <si>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</si>
  <si>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</si>
  <si>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</si>
  <si>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</si>
  <si>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</si>
  <si>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</si>
  <si>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</si>
  <si>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</si>
  <si>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</si>
  <si>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</si>
  <si>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</si>
  <si>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</si>
  <si>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</si>
  <si>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</si>
  <si>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</si>
  <si>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</si>
  <si>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</si>
  <si>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</si>
  <si>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</si>
  <si>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</si>
  <si>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</si>
  <si>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</si>
  <si>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</si>
  <si>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</si>
  <si>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</si>
  <si>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</si>
  <si>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</si>
  <si>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</si>
  <si>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</si>
  <si>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</si>
  <si>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</si>
  <si>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</si>
  <si>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</si>
  <si>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</si>
  <si>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</si>
  <si>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</si>
  <si>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</si>
  <si>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</si>
  <si>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</si>
  <si>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</si>
  <si>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</si>
  <si>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</si>
  <si>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</si>
  <si>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</si>
  <si>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</si>
  <si>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</si>
  <si>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</si>
  <si>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</si>
  <si>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</si>
  <si>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</si>
  <si>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</si>
  <si>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</si>
  <si>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</si>
  <si>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</si>
  <si>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</si>
  <si>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</si>
  <si>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</si>
  <si>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</si>
  <si>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</si>
  <si>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</si>
  <si>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</si>
  <si>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</si>
  <si>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</si>
  <si>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</si>
  <si>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</si>
  <si>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</si>
  <si>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</si>
  <si>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</si>
  <si>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</si>
  <si>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</si>
  <si>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</si>
  <si>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</si>
  <si>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</si>
  <si>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</si>
  <si>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</si>
  <si>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</si>
  <si>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</si>
  <si>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</si>
  <si>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</si>
  <si>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</si>
  <si>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</si>
  <si>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</si>
  <si>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</si>
  <si>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</si>
  <si>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</si>
  <si>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</si>
  <si>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</si>
  <si>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</si>
  <si>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</si>
  <si>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</si>
  <si>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</si>
  <si>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</si>
  <si>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</si>
  <si>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</si>
  <si>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</si>
  <si>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</si>
  <si>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</si>
  <si>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</si>
  <si>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</si>
  <si>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</si>
  <si>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</si>
  <si>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</si>
  <si>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</si>
  <si>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</si>
  <si>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</si>
  <si>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</si>
  <si>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</si>
  <si>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</si>
  <si>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</si>
  <si>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</si>
  <si>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</si>
  <si>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</si>
  <si>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</si>
  <si>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</si>
  <si>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</si>
  <si>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</si>
  <si>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</si>
  <si>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</si>
  <si>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</si>
  <si>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</si>
  <si>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</si>
  <si>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</si>
  <si>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</si>
  <si>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</si>
  <si>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</si>
  <si>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</si>
  <si>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</si>
  <si>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</si>
  <si>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</si>
  <si>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</si>
  <si>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</si>
  <si>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</si>
  <si>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</si>
  <si>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</si>
  <si>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</si>
  <si>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</si>
  <si>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</si>
  <si>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</si>
  <si>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</si>
  <si>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</si>
  <si>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</si>
  <si>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</si>
  <si>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</si>
  <si>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</si>
  <si>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</si>
  <si>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</si>
  <si>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</si>
  <si>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</si>
  <si>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</si>
  <si>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</si>
  <si>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</si>
  <si>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</si>
  <si>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</si>
  <si>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</si>
  <si>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</si>
  <si>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</si>
  <si>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</si>
  <si>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</si>
  <si>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</si>
  <si>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</si>
  <si>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</si>
  <si>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</si>
  <si>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</si>
  <si>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</si>
  <si>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</si>
  <si>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</si>
  <si>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</si>
  <si>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</si>
  <si>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</si>
  <si>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</si>
  <si>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</si>
  <si>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</si>
  <si>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</si>
  <si>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</si>
  <si>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</si>
  <si>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</si>
  <si>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</si>
  <si>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</si>
  <si>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</si>
  <si>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</si>
  <si>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</si>
  <si>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</si>
  <si>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</si>
  <si>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</si>
  <si>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</si>
  <si>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</si>
  <si>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</si>
  <si>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</si>
  <si>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</si>
  <si>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</si>
  <si>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</si>
  <si>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</si>
  <si>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</si>
  <si>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</si>
  <si>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</si>
  <si>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</si>
  <si>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</si>
  <si>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</si>
  <si>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</si>
  <si>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</si>
  <si>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</si>
  <si>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</si>
  <si>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</si>
  <si>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</si>
  <si>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</si>
  <si>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</si>
  <si>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</si>
  <si>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</si>
  <si>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</si>
  <si>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</si>
  <si>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</si>
  <si>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</si>
  <si>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</si>
  <si>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</si>
  <si>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</si>
  <si>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</si>
  <si>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</si>
  <si>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</si>
  <si>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</si>
  <si>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</si>
  <si>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</si>
  <si>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</si>
  <si>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</si>
  <si>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</si>
  <si>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</si>
  <si>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</si>
  <si>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</si>
  <si>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</si>
  <si>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</si>
  <si>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</si>
  <si>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</si>
  <si>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</si>
  <si>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</si>
  <si>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</si>
  <si>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</si>
  <si>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</si>
  <si>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</si>
  <si>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</si>
  <si>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</si>
  <si>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</si>
  <si>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</si>
  <si>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</si>
  <si>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</si>
  <si>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</si>
  <si>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</si>
  <si>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</si>
  <si>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</si>
  <si>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</si>
  <si>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</si>
  <si>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</si>
  <si>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</si>
  <si>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</si>
  <si>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</si>
  <si>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</si>
  <si>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</si>
  <si>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</si>
  <si>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</si>
  <si>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</si>
  <si>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</si>
  <si>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</si>
  <si>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</si>
  <si>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</si>
  <si>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</si>
  <si>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</si>
  <si>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</si>
  <si>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</si>
  <si>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</si>
  <si>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</si>
  <si>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</si>
  <si>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</si>
  <si>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</si>
  <si>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</si>
  <si>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</si>
  <si>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</si>
  <si>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</si>
  <si>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</si>
  <si>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</si>
  <si>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</si>
  <si>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</si>
  <si>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</si>
  <si>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</si>
  <si>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</si>
  <si>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</si>
  <si>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</si>
  <si>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</si>
  <si>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</si>
  <si>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</si>
  <si>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</si>
  <si>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</si>
  <si>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</si>
  <si>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</si>
  <si>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</si>
  <si>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</si>
  <si>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</si>
  <si>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</si>
  <si>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</si>
  <si>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</si>
  <si>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</si>
  <si>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</si>
  <si>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</si>
  <si>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</si>
  <si>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</si>
  <si>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</si>
  <si>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</si>
  <si>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</si>
  <si>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</si>
  <si>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</si>
  <si>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</si>
  <si>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</si>
  <si>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</si>
  <si>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</si>
  <si>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</si>
  <si>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</si>
  <si>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</si>
  <si>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</si>
  <si>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</si>
  <si>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</si>
  <si>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</si>
  <si>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</si>
  <si>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</si>
  <si>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</si>
  <si>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</si>
  <si>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</si>
  <si>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</si>
  <si>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</si>
  <si>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</si>
  <si>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</si>
  <si>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</si>
  <si>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</si>
  <si>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</si>
  <si>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</si>
  <si>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</si>
  <si>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</si>
  <si>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</si>
  <si>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</si>
  <si>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</si>
  <si>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</si>
  <si>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</si>
  <si>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</si>
  <si>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</si>
  <si>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</si>
  <si>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</si>
  <si>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</si>
  <si>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</si>
  <si>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</si>
  <si>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</si>
  <si>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</si>
  <si>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</si>
  <si>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</si>
  <si>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</si>
  <si>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</si>
  <si>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</si>
  <si>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</si>
  <si>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</si>
  <si>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</si>
  <si>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</si>
  <si>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</si>
  <si>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</si>
  <si>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</si>
  <si>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</si>
  <si>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</si>
  <si>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</si>
  <si>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</si>
  <si>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</si>
  <si>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</si>
  <si>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</si>
  <si>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</si>
  <si>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</si>
  <si>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</si>
  <si>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</si>
  <si>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</si>
  <si>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</si>
  <si>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</si>
  <si>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</si>
  <si>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</si>
  <si>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</si>
  <si>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</si>
  <si>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</si>
  <si>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</si>
  <si>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</si>
  <si>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</si>
  <si>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</si>
  <si>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</si>
  <si>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</si>
  <si>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</si>
  <si>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</si>
  <si>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</si>
  <si>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</si>
  <si>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</si>
  <si>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</si>
  <si>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</si>
  <si>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</si>
  <si>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</si>
  <si>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</si>
  <si>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</si>
  <si>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</si>
  <si>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</si>
  <si>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</si>
  <si>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</si>
  <si>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</si>
  <si>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</si>
  <si>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</si>
  <si>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</si>
  <si>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</si>
  <si>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</si>
  <si>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</si>
  <si>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</si>
  <si>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</si>
  <si>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</si>
  <si>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</si>
  <si>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</si>
  <si>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</si>
  <si>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</si>
  <si>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</si>
  <si>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</si>
  <si>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</si>
  <si>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</si>
  <si>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</si>
  <si>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</si>
  <si>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</si>
  <si>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</si>
  <si>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</si>
  <si>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</si>
  <si>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</si>
  <si>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</si>
  <si>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</si>
  <si>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</si>
  <si>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</si>
  <si>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</si>
  <si>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</si>
  <si>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</si>
  <si>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</si>
  <si>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</si>
  <si>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</si>
  <si>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</si>
  <si>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</si>
  <si>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</si>
  <si>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</si>
  <si>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</si>
  <si>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</si>
  <si>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</si>
  <si>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</si>
  <si>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</si>
  <si>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</si>
  <si>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</si>
  <si>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</si>
  <si>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</si>
  <si>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</si>
  <si>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</si>
  <si>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</si>
  <si>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</si>
  <si>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</si>
  <si>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</si>
  <si>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</si>
  <si>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</si>
  <si>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</si>
  <si>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</si>
  <si>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</si>
  <si>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</si>
  <si>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</si>
  <si>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</si>
  <si>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</si>
  <si>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</si>
  <si>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</si>
  <si>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</si>
  <si>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</si>
  <si>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</si>
  <si>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</si>
  <si>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</si>
  <si>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</si>
  <si>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</si>
  <si>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</si>
  <si>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</si>
  <si>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</si>
  <si>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</si>
  <si>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</si>
  <si>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</si>
  <si>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</si>
  <si>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</si>
  <si>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</si>
  <si>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</si>
  <si>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</si>
  <si>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</si>
  <si>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</si>
  <si>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</si>
  <si>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</si>
  <si>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</si>
  <si>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</si>
  <si>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</si>
  <si>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</si>
  <si>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</si>
  <si>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</si>
  <si>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</si>
  <si>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</si>
  <si>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</si>
  <si>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</si>
  <si>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</si>
  <si>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</si>
  <si>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</si>
  <si>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</si>
  <si>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</si>
  <si>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</si>
  <si>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</si>
  <si>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</si>
  <si>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</si>
  <si>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</si>
  <si>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</si>
  <si>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</si>
  <si>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</si>
  <si>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</si>
  <si>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</si>
  <si>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</si>
  <si>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</si>
  <si>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</si>
  <si>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</si>
  <si>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</si>
  <si>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</si>
  <si>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</si>
  <si>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</si>
  <si>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</si>
  <si>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</si>
  <si>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</si>
  <si>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</si>
  <si>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</si>
  <si>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</si>
  <si>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</si>
  <si>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</si>
  <si>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</si>
  <si>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</si>
  <si>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</si>
  <si>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</si>
  <si>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</si>
  <si>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</si>
  <si>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</si>
  <si>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</si>
  <si>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</si>
  <si>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</si>
  <si>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</si>
  <si>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</si>
  <si>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</si>
  <si>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</si>
  <si>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</si>
  <si>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</si>
  <si>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</si>
  <si>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</si>
  <si>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</si>
  <si>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</si>
  <si>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</si>
  <si>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</si>
  <si>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</si>
  <si>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</si>
  <si>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</si>
  <si>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</si>
  <si>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</si>
  <si>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</si>
  <si>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</si>
  <si>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</si>
  <si>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</si>
  <si>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</si>
  <si>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</si>
  <si>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</si>
  <si>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</si>
  <si>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</si>
  <si>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</si>
  <si>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</si>
  <si>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</si>
  <si>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</si>
  <si>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</si>
  <si>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</si>
  <si>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</si>
  <si>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</si>
  <si>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</si>
  <si>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</si>
  <si>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</si>
  <si>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</si>
  <si>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</si>
  <si>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</si>
  <si>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</si>
  <si>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</si>
  <si>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</si>
  <si>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</si>
  <si>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</si>
  <si>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</si>
  <si>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</si>
  <si>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</si>
  <si>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</si>
  <si>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</si>
  <si>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</si>
  <si>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</si>
  <si>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</si>
  <si>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</si>
  <si>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</si>
  <si>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</si>
  <si>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</si>
  <si>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</si>
  <si>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</si>
  <si>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</si>
  <si>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</si>
  <si>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</si>
  <si>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</si>
  <si>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</si>
  <si>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</si>
  <si>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</si>
  <si>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</si>
  <si>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</si>
  <si>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</si>
  <si>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</si>
  <si>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</si>
  <si>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</si>
  <si>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</si>
  <si>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</si>
  <si>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</si>
  <si>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</si>
  <si>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</si>
  <si>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</si>
  <si>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</si>
  <si>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</si>
  <si>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</si>
  <si>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</si>
  <si>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</si>
  <si>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</si>
  <si>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</si>
  <si>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</si>
  <si>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</si>
  <si>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</si>
  <si>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</si>
  <si>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</si>
  <si>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</si>
  <si>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</si>
  <si>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</si>
  <si>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</si>
  <si>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</si>
  <si>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</si>
  <si>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</si>
  <si>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</si>
  <si>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</si>
  <si>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</si>
  <si>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</si>
  <si>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</si>
  <si>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</si>
  <si>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</si>
  <si>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</si>
  <si>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</si>
  <si>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</si>
  <si>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</si>
  <si>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</si>
  <si>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</si>
  <si>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</si>
  <si>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</si>
  <si>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</si>
  <si>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</si>
  <si>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</si>
  <si>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</si>
  <si>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</si>
  <si>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</si>
  <si>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</si>
  <si>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</si>
  <si>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</si>
  <si>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</si>
  <si>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</si>
  <si>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</si>
  <si>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</si>
  <si>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</si>
  <si>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</si>
  <si>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</si>
  <si>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</si>
  <si>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</si>
  <si>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</si>
  <si>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</si>
  <si>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</si>
  <si>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</si>
  <si>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</si>
  <si>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</si>
  <si>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</si>
  <si>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</si>
  <si>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</si>
  <si>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</si>
  <si>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</si>
  <si>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</si>
  <si>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</si>
  <si>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</si>
  <si>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</si>
  <si>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</si>
  <si>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</si>
  <si>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</si>
  <si>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</si>
  <si>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</si>
  <si>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</si>
  <si>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</si>
  <si>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</si>
  <si>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</si>
  <si>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</si>
  <si>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</si>
  <si>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</si>
  <si>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</si>
  <si>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</si>
  <si>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</si>
  <si>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</si>
  <si>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</si>
  <si>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</si>
  <si>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</si>
  <si>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</si>
  <si>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</si>
  <si>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</si>
  <si>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</si>
  <si>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</si>
  <si>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</si>
  <si>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</si>
  <si>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</si>
  <si>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</si>
  <si>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</si>
  <si>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</si>
  <si>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</si>
  <si>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</si>
  <si>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</si>
  <si>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</si>
  <si>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</si>
  <si>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</si>
  <si>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</si>
  <si>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</si>
  <si>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</si>
  <si>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</si>
  <si>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</si>
  <si>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</si>
  <si>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</si>
  <si>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</si>
  <si>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</si>
  <si>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</si>
  <si>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</si>
  <si>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</si>
  <si>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</si>
  <si>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</si>
  <si>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</si>
  <si>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</si>
  <si>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</si>
  <si>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</si>
  <si>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</si>
  <si>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</si>
  <si>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</si>
  <si>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</si>
  <si>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</si>
  <si>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</si>
  <si>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</si>
  <si>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</si>
  <si>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</si>
  <si>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</si>
  <si>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</si>
  <si>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</si>
  <si>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</si>
  <si>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</si>
  <si>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</si>
  <si>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</si>
  <si>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</si>
  <si>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</si>
  <si>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</si>
  <si>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</si>
  <si>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</si>
  <si>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</si>
  <si>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</si>
  <si>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</si>
  <si>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</si>
  <si>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</si>
  <si>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</si>
  <si>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</si>
  <si>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</si>
  <si>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</si>
  <si>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</si>
  <si>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</si>
  <si>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</si>
  <si>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</si>
  <si>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</si>
  <si>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</si>
  <si>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</si>
  <si>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</si>
  <si>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</si>
  <si>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</si>
  <si>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</si>
  <si>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</si>
  <si>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</si>
  <si>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</si>
  <si>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</si>
  <si>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</si>
  <si>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</si>
  <si>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</si>
  <si>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</si>
  <si>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</si>
  <si>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</si>
  <si>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</si>
  <si>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</si>
  <si>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</si>
  <si>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</si>
  <si>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</si>
  <si>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</si>
  <si>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</si>
  <si>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</si>
  <si>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</si>
  <si>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</si>
  <si>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</si>
  <si>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</si>
  <si>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</si>
  <si>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</si>
  <si>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</si>
  <si>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</si>
  <si>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</si>
  <si>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</si>
  <si>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</si>
  <si>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</si>
  <si>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</si>
  <si>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</si>
  <si>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</si>
  <si>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</si>
  <si>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</si>
  <si>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</si>
  <si>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</si>
  <si>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</si>
  <si>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</si>
  <si>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</si>
  <si>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</si>
  <si>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</si>
  <si>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</si>
  <si>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</si>
  <si>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</si>
  <si>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</si>
  <si>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</si>
  <si>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</si>
  <si>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</si>
  <si>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</si>
  <si>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</si>
  <si>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</si>
  <si>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</si>
  <si>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</si>
  <si>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</si>
  <si>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</si>
  <si>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</si>
  <si>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</si>
  <si>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</si>
  <si>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</si>
  <si>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</si>
  <si>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</si>
  <si>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</si>
  <si>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</si>
  <si>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</si>
  <si>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</si>
  <si>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</si>
  <si>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</si>
  <si>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</si>
  <si>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</si>
  <si>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</si>
  <si>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</si>
  <si>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</si>
  <si>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</si>
  <si>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</si>
  <si>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</si>
  <si>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</si>
  <si>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</si>
  <si>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</si>
  <si>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</si>
  <si>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</si>
  <si>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</si>
  <si>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</si>
  <si>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</si>
  <si>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</si>
  <si>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</si>
  <si>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</si>
  <si>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</si>
  <si>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</si>
  <si>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</si>
  <si>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</si>
  <si>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</si>
  <si>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</si>
  <si>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</si>
  <si>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</si>
  <si>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</si>
  <si>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</si>
  <si>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</si>
  <si>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</si>
  <si>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</si>
  <si>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</si>
  <si>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</si>
  <si>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</si>
  <si>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</si>
  <si>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</si>
  <si>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</si>
  <si>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</si>
  <si>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</si>
  <si>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</si>
  <si>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</si>
  <si>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</si>
  <si>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</si>
  <si>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</si>
  <si>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</si>
  <si>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</si>
  <si>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</si>
  <si>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</si>
  <si>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</si>
  <si>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</si>
  <si>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</si>
  <si>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</si>
  <si>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</si>
  <si>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</si>
  <si>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</si>
  <si>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</si>
  <si>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</si>
  <si>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</si>
  <si>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</si>
  <si>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</si>
  <si>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</si>
  <si>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</si>
  <si>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</si>
  <si>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</si>
  <si>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</si>
  <si>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</si>
  <si>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</si>
  <si>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</si>
  <si>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</si>
  <si>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</si>
  <si>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</si>
  <si>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</si>
  <si>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</si>
  <si>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</si>
  <si>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</si>
  <si>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</si>
  <si>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</si>
  <si>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</si>
  <si>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</si>
  <si>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</si>
  <si>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</si>
  <si>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</si>
  <si>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</si>
  <si>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</si>
  <si>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</si>
  <si>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</si>
  <si>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</si>
  <si>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</si>
  <si>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</si>
  <si>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</si>
  <si>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</si>
  <si>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</si>
  <si>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</si>
  <si>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</si>
  <si>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</si>
  <si>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</si>
  <si>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</si>
  <si>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</si>
  <si>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</si>
  <si>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</si>
  <si>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</si>
  <si>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</si>
  <si>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</si>
  <si>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</si>
  <si>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</si>
  <si>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</si>
  <si>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</si>
  <si>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</si>
  <si>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</si>
  <si>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</si>
  <si>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</si>
  <si>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</si>
  <si>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</si>
  <si>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</si>
  <si>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</si>
  <si>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</si>
  <si>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</si>
  <si>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</si>
  <si>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</si>
  <si>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</si>
  <si>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</si>
  <si>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</si>
  <si>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</si>
  <si>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</si>
  <si>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</si>
  <si>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</si>
  <si>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</si>
  <si>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</si>
  <si>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</si>
  <si>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</si>
  <si>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</si>
  <si>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</si>
  <si>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</si>
  <si>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</si>
  <si>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</si>
  <si>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</si>
  <si>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</si>
  <si>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</si>
  <si>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</si>
  <si>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</si>
  <si>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</si>
  <si>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</si>
  <si>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</si>
  <si>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</si>
  <si>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</si>
  <si>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</si>
  <si>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</si>
  <si>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</si>
  <si>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</si>
  <si>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</si>
  <si>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</si>
  <si>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</si>
  <si>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</si>
  <si>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</si>
  <si>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</si>
  <si>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</si>
  <si>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</si>
  <si>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</si>
  <si>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</si>
  <si>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</si>
  <si>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</si>
  <si>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</si>
  <si>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</si>
  <si>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</si>
  <si>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</si>
  <si>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</si>
  <si>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</si>
  <si>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</si>
  <si>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</si>
  <si>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</si>
  <si>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</si>
  <si>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</si>
  <si>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</si>
  <si>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</si>
  <si>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</si>
  <si>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</si>
  <si>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</si>
  <si>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</si>
  <si>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</si>
  <si>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</si>
  <si>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</si>
  <si>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</si>
  <si>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</si>
  <si>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</si>
  <si>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</si>
  <si>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</si>
  <si>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</si>
  <si>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</si>
  <si>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</si>
  <si>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</si>
  <si>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</si>
  <si>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</si>
  <si>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</si>
  <si>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</si>
  <si>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</si>
  <si>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</si>
  <si>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</si>
  <si>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</si>
  <si>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</si>
  <si>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</si>
  <si>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</si>
  <si>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</si>
  <si>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</si>
  <si>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</si>
  <si>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</si>
  <si>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</si>
  <si>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</si>
  <si>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</si>
  <si>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</si>
  <si>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</si>
  <si>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</si>
  <si>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</si>
  <si>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</si>
  <si>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</si>
  <si>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</si>
  <si>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</si>
  <si>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</si>
  <si>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</si>
  <si>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</si>
  <si>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</si>
  <si>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</si>
  <si>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</si>
  <si>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</si>
  <si>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</si>
  <si>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</si>
  <si>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</si>
  <si>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</si>
  <si>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</si>
  <si>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</si>
  <si>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</si>
  <si>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</si>
  <si>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</si>
  <si>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</si>
  <si>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</si>
  <si>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</si>
  <si>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</si>
  <si>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</si>
  <si>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</si>
  <si>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</si>
  <si>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</si>
  <si>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</si>
  <si>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</si>
  <si>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</si>
  <si>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</si>
  <si>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</si>
  <si>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</si>
  <si>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</si>
  <si>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</si>
  <si>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</si>
  <si>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</si>
  <si>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</si>
  <si>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</si>
  <si>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</si>
  <si>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</si>
  <si>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</si>
  <si>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</si>
  <si>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</si>
  <si>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</si>
  <si>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</si>
  <si>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</si>
  <si>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</si>
  <si>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</si>
  <si>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</si>
  <si>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</si>
  <si>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</si>
  <si>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</si>
  <si>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</si>
  <si>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</si>
  <si>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</si>
  <si>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</si>
  <si>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</si>
  <si>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</si>
  <si>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</si>
  <si>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</si>
  <si>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</si>
  <si>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</si>
  <si>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</si>
  <si>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</si>
  <si>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</si>
  <si>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</si>
  <si>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</si>
  <si>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</si>
  <si>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</si>
  <si>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</si>
  <si>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</si>
  <si>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</si>
  <si>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</si>
  <si>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</si>
  <si>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</si>
  <si>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</si>
  <si>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</si>
  <si>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</si>
  <si>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</si>
  <si>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</si>
  <si>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</si>
  <si>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</si>
  <si>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</si>
  <si>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</si>
  <si>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</si>
  <si>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</si>
  <si>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</si>
  <si>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</si>
  <si>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</si>
  <si>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</si>
  <si>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</si>
  <si>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</si>
  <si>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</si>
  <si>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</si>
  <si>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</si>
  <si>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</si>
  <si>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</si>
  <si>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</si>
  <si>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</si>
  <si>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</si>
  <si>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</si>
  <si>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</si>
  <si>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</si>
  <si>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</si>
  <si>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</si>
  <si>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</si>
  <si>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</si>
  <si>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</si>
  <si>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</si>
  <si>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</si>
  <si>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</si>
  <si>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</si>
  <si>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</si>
  <si>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</si>
  <si>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</si>
  <si>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</si>
  <si>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</si>
  <si>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</si>
  <si>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</si>
  <si>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</si>
  <si>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</si>
  <si>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</si>
  <si>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</si>
  <si>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</si>
  <si>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</si>
  <si>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</si>
  <si>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</si>
  <si>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</si>
  <si>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</si>
  <si>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</si>
  <si>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</si>
  <si>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</si>
  <si>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</si>
  <si>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</si>
  <si>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</si>
  <si>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</si>
  <si>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</si>
  <si>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</si>
  <si>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</si>
  <si>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</si>
  <si>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</si>
  <si>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</si>
  <si>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</si>
  <si>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</si>
  <si>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</si>
  <si>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</si>
  <si>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</si>
  <si>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</si>
  <si>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</si>
  <si>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</si>
  <si>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</si>
  <si>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</si>
  <si>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</si>
  <si>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</si>
  <si>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</si>
  <si>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</si>
  <si>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</si>
  <si>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</si>
  <si>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</si>
  <si>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</si>
  <si>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</si>
  <si>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</si>
  <si>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</si>
  <si>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</si>
  <si>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</si>
  <si>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</si>
  <si>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</si>
  <si>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</si>
  <si>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</si>
  <si>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</si>
  <si>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</si>
  <si>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</si>
  <si>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</si>
  <si>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</si>
  <si>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</si>
  <si>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</si>
  <si>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</si>
  <si>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</si>
  <si>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</si>
  <si>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</si>
  <si>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</si>
  <si>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</si>
  <si>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</si>
  <si>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</si>
  <si>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</si>
  <si>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</si>
  <si>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</si>
  <si>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</si>
  <si>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</si>
  <si>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</si>
  <si>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</si>
  <si>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</si>
  <si>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</si>
  <si>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</si>
  <si>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</si>
  <si>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</si>
  <si>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</si>
  <si>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</si>
  <si>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</si>
  <si>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</si>
  <si>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</si>
  <si>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</si>
  <si>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</si>
  <si>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</si>
  <si>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</si>
  <si>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</si>
  <si>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</si>
  <si>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</si>
  <si>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</si>
  <si>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</si>
  <si>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</si>
  <si>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</si>
  <si>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</si>
  <si>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</si>
  <si>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</si>
  <si>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</si>
  <si>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</si>
  <si>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</si>
  <si>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</si>
  <si>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</si>
  <si>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</si>
  <si>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</si>
  <si>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</si>
  <si>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</si>
  <si>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</si>
  <si>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</si>
  <si>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</si>
  <si>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</si>
  <si>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</si>
  <si>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</si>
  <si>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</si>
  <si>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</si>
  <si>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</si>
  <si>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</si>
  <si>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</si>
  <si>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</si>
  <si>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</si>
  <si>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</si>
  <si>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</si>
  <si>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</si>
  <si>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</si>
  <si>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</si>
  <si>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</si>
  <si>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</si>
  <si>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</si>
  <si>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</si>
  <si>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</si>
  <si>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</si>
  <si>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</si>
  <si>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</si>
  <si>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</si>
  <si>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</si>
  <si>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</si>
  <si>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</si>
  <si>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</si>
  <si>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</si>
  <si>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</si>
  <si>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</si>
  <si>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</si>
  <si>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</si>
  <si>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</si>
  <si>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</si>
  <si>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</si>
  <si>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</si>
  <si>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</si>
  <si>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</si>
  <si>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</si>
  <si>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</si>
  <si>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</si>
  <si>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</si>
  <si>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</si>
  <si>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</si>
  <si>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</si>
  <si>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</si>
  <si>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</si>
  <si>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</si>
  <si>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</si>
  <si>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</si>
  <si>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</si>
  <si>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</si>
  <si>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</si>
  <si>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</si>
  <si>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</si>
  <si>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</si>
  <si>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</si>
  <si>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</si>
  <si>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</si>
  <si>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</si>
  <si>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</si>
  <si>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</si>
  <si>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</si>
  <si>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</si>
  <si>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</si>
  <si>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</si>
  <si>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</si>
  <si>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</si>
  <si>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</si>
  <si>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</si>
  <si>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</si>
  <si>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</si>
  <si>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</si>
  <si>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</si>
  <si>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</si>
  <si>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</si>
  <si>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</si>
  <si>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</si>
  <si>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</si>
  <si>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</si>
  <si>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</si>
  <si>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</si>
  <si>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</si>
  <si>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</si>
  <si>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</si>
  <si>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</si>
  <si>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</si>
  <si>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</si>
  <si>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</si>
  <si>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</si>
  <si>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</si>
  <si>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</si>
  <si>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</si>
  <si>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</si>
  <si>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</si>
  <si>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</si>
  <si>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</si>
  <si>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</si>
  <si>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</si>
  <si>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</si>
  <si>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</si>
  <si>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</si>
  <si>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</si>
  <si>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</si>
  <si>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</si>
  <si>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</si>
  <si>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</si>
  <si>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</si>
  <si>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</si>
  <si>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</si>
  <si>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</si>
  <si>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</si>
  <si>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</si>
  <si>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</si>
  <si>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</si>
  <si>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</si>
  <si>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</si>
  <si>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</si>
  <si>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</si>
  <si>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</si>
  <si>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</si>
  <si>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</si>
  <si>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</si>
  <si>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</si>
  <si>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</si>
  <si>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</si>
  <si>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</si>
  <si>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</si>
  <si>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</si>
  <si>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</si>
  <si>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</si>
  <si>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</si>
  <si>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</si>
  <si>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</si>
  <si>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</si>
  <si>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</si>
  <si>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</si>
  <si>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</si>
  <si>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</si>
  <si>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</si>
  <si>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</si>
  <si>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</si>
  <si>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</si>
  <si>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</si>
  <si>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</si>
  <si>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</si>
  <si>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</si>
  <si>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</si>
  <si>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</si>
  <si>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</si>
  <si>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</si>
  <si>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</si>
  <si>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</si>
  <si>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</si>
  <si>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</si>
  <si>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</si>
  <si>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</si>
  <si>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</si>
  <si>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</si>
  <si>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</si>
  <si>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</si>
  <si>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</si>
  <si>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</si>
  <si>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</si>
  <si>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</si>
  <si>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</si>
  <si>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</si>
  <si>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</si>
  <si>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</si>
  <si>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</si>
  <si>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</si>
  <si>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</si>
  <si>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</si>
  <si>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</si>
  <si>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</si>
  <si>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</si>
  <si>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</si>
  <si>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</si>
  <si>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</si>
  <si>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</si>
  <si>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</si>
  <si>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</si>
  <si>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</si>
  <si>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</si>
  <si>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</si>
  <si>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</si>
  <si>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</si>
  <si>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</si>
  <si>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</si>
  <si>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</si>
  <si>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</si>
  <si>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</si>
  <si>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</si>
  <si>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</si>
  <si>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</si>
  <si>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</si>
  <si>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</si>
  <si>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</si>
  <si>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</si>
  <si>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</si>
  <si>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</si>
  <si>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</si>
  <si>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</si>
  <si>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</si>
  <si>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</si>
  <si>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</si>
  <si>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</si>
  <si>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</si>
  <si>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</si>
  <si>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</si>
  <si>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</si>
  <si>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</si>
  <si>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</si>
  <si>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</si>
  <si>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</si>
  <si>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</si>
  <si>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</si>
  <si>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</si>
  <si>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</si>
  <si>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</si>
  <si>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</si>
  <si>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</si>
  <si>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</si>
  <si>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</si>
  <si>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</si>
  <si>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</si>
  <si>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</si>
  <si>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</si>
  <si>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</si>
  <si>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</si>
  <si>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</si>
  <si>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</si>
  <si>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</si>
  <si>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</si>
  <si>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</si>
  <si>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</si>
  <si>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</si>
  <si>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</si>
  <si>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</si>
  <si>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</si>
  <si>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</si>
  <si>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</si>
  <si>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</si>
  <si>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</si>
  <si>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</si>
  <si>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</si>
  <si>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</si>
  <si>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</si>
  <si>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</si>
  <si>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</si>
  <si>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</si>
  <si>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</si>
  <si>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</si>
  <si>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</si>
  <si>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</si>
  <si>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</si>
  <si>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</si>
  <si>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</si>
  <si>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</si>
  <si>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</si>
  <si>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</si>
  <si>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</si>
  <si>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</si>
  <si>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</si>
  <si>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</si>
  <si>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</si>
  <si>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</si>
  <si>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</si>
  <si>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</si>
  <si>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</si>
  <si>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</si>
  <si>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</si>
  <si>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</si>
  <si>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</si>
  <si>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</si>
  <si>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</si>
  <si>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</si>
  <si>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</si>
  <si>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</si>
  <si>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</si>
  <si>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</si>
  <si>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</si>
  <si>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</si>
  <si>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</si>
  <si>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</si>
  <si>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</si>
  <si>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</si>
  <si>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</si>
  <si>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</si>
  <si>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</si>
  <si>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</si>
  <si>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</si>
  <si>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</si>
  <si>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</si>
  <si>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</si>
  <si>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</si>
  <si>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</si>
  <si>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</si>
  <si>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</si>
  <si>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</si>
  <si>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</si>
  <si>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</si>
  <si>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</si>
  <si>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</si>
  <si>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</si>
  <si>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</si>
  <si>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</si>
  <si>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</si>
  <si>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</si>
  <si>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</si>
  <si>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</si>
  <si>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</si>
  <si>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</si>
  <si>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</si>
  <si>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</si>
  <si>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</si>
  <si>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</si>
  <si>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</si>
  <si>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</si>
  <si>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</si>
  <si>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</si>
  <si>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</si>
  <si>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</si>
  <si>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</si>
  <si>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</si>
  <si>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</si>
  <si>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</si>
  <si>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</si>
  <si>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</si>
  <si>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</si>
  <si>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</si>
  <si>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</si>
  <si>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</si>
  <si>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</si>
  <si>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</si>
  <si>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</si>
  <si>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</si>
  <si>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</si>
  <si>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</si>
  <si>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</si>
  <si>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</si>
  <si>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</si>
  <si>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</si>
  <si>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</si>
  <si>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</si>
  <si>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</si>
  <si>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</si>
  <si>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</si>
  <si>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</si>
  <si>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</si>
  <si>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</si>
  <si>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</si>
  <si>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</si>
  <si>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</si>
  <si>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</si>
  <si>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</si>
  <si>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</si>
  <si>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</si>
  <si>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</si>
  <si>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</si>
  <si>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</si>
  <si>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</si>
  <si>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</si>
  <si>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</si>
  <si>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</si>
  <si>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</si>
  <si>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</si>
  <si>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</si>
  <si>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</si>
  <si>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</si>
  <si>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</si>
  <si>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</si>
  <si>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</si>
  <si>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</si>
  <si>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</si>
  <si>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</si>
  <si>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</si>
  <si>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</si>
  <si>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</si>
  <si>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</si>
  <si>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</si>
  <si>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</si>
  <si>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</si>
  <si>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</si>
  <si>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</si>
  <si>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</si>
  <si>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</si>
  <si>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</si>
  <si>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</si>
  <si>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</si>
  <si>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</si>
  <si>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</si>
  <si>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</si>
  <si>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</si>
  <si>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</si>
  <si>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</si>
  <si>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</si>
  <si>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</si>
  <si>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</si>
  <si>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</si>
  <si>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</si>
  <si>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</si>
  <si>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</si>
  <si>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</si>
  <si>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</si>
  <si>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</si>
  <si>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</si>
  <si>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</si>
  <si>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</si>
  <si>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</si>
  <si>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</si>
  <si>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</si>
  <si>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</si>
  <si>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</si>
  <si>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</si>
  <si>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</si>
  <si>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</si>
  <si>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</si>
  <si>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</si>
  <si>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</si>
  <si>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</si>
  <si>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</si>
  <si>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</si>
  <si>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</si>
  <si>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</si>
  <si>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</si>
  <si>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</si>
  <si>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</si>
  <si>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</si>
  <si>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</si>
  <si>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</si>
  <si>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</si>
  <si>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</si>
  <si>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</si>
  <si>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</si>
  <si>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</si>
  <si>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</si>
  <si>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</si>
  <si>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</si>
  <si>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</si>
  <si>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</si>
  <si>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</si>
  <si>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</si>
  <si>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</si>
  <si>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</si>
  <si>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</si>
  <si>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</si>
  <si>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</si>
  <si>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</si>
  <si>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</si>
  <si>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</si>
  <si>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</si>
  <si>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</si>
  <si>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</si>
  <si>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</si>
  <si>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</si>
  <si>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</si>
  <si>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</si>
  <si>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</si>
  <si>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</si>
  <si>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</si>
  <si>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</si>
  <si>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</si>
  <si>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</si>
  <si>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</si>
  <si>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</si>
  <si>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</si>
  <si>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</si>
  <si>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</si>
  <si>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</si>
  <si>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</si>
  <si>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</si>
  <si>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</si>
  <si>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</si>
  <si>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</si>
  <si>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</si>
  <si>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</si>
  <si>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</si>
  <si>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</si>
  <si>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</si>
  <si>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</si>
  <si>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</si>
  <si>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</si>
  <si>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</si>
  <si>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</si>
  <si>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</si>
  <si>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</si>
  <si>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</si>
  <si>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</si>
  <si>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</si>
  <si>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</si>
  <si>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</si>
  <si>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</si>
  <si>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</si>
  <si>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</si>
  <si>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</si>
  <si>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</si>
  <si>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</si>
  <si>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</si>
  <si>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</si>
  <si>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</si>
  <si>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</si>
  <si>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</si>
  <si>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</si>
  <si>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</si>
  <si>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</si>
  <si>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</si>
  <si>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</si>
  <si>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</si>
  <si>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</si>
  <si>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</si>
  <si>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</si>
  <si>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</si>
  <si>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</si>
  <si>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</si>
  <si>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</si>
  <si>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</si>
  <si>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</si>
  <si>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</si>
  <si>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</si>
  <si>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</si>
  <si>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</si>
  <si>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</si>
  <si>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</si>
  <si>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</si>
  <si>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</si>
  <si>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</si>
  <si>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</si>
  <si>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</si>
  <si>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</si>
  <si>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</si>
  <si>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</si>
  <si>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</si>
  <si>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</si>
  <si>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</si>
  <si>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</si>
  <si>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</si>
  <si>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</si>
  <si>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</si>
  <si>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</si>
  <si>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</si>
  <si>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</si>
  <si>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</si>
  <si>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</si>
  <si>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</si>
  <si>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</si>
  <si>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</si>
  <si>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</si>
  <si>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</si>
  <si>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</si>
  <si>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</si>
  <si>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</si>
  <si>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</si>
  <si>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</si>
  <si>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</si>
  <si>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</si>
  <si>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</si>
  <si>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</si>
  <si>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</si>
  <si>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</si>
  <si>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</si>
  <si>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</si>
  <si>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</si>
  <si>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</si>
  <si>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</si>
  <si>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</si>
  <si>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</si>
  <si>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</si>
  <si>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</si>
  <si>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</si>
  <si>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</si>
  <si>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</si>
  <si>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</si>
  <si>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</si>
  <si>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</si>
  <si>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</si>
  <si>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</si>
  <si>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</si>
  <si>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</si>
  <si>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</si>
  <si>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</si>
  <si>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</si>
  <si>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</si>
  <si>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</si>
  <si>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</si>
  <si>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</si>
  <si>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</si>
  <si>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</si>
  <si>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</si>
  <si>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</si>
  <si>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</si>
  <si>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</si>
  <si>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</si>
  <si>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</si>
  <si>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</si>
  <si>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</si>
  <si>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</si>
  <si>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</si>
  <si>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</si>
  <si>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</si>
  <si>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</si>
  <si>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</si>
  <si>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</si>
  <si>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</si>
  <si>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</si>
  <si>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</si>
  <si>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</si>
  <si>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</si>
  <si>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</si>
  <si>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</si>
  <si>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</si>
  <si>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</si>
  <si>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</si>
  <si>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</si>
  <si>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</si>
  <si>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</si>
  <si>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</si>
  <si>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</si>
  <si>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</si>
  <si>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</si>
  <si>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</si>
  <si>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</si>
  <si>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</si>
  <si>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</si>
  <si>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</si>
  <si>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</si>
  <si>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</si>
  <si>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</si>
  <si>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</si>
  <si>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</si>
  <si>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</si>
  <si>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</si>
  <si>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</si>
  <si>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</si>
  <si>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</si>
  <si>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</si>
  <si>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</si>
  <si>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</si>
  <si>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</si>
  <si>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</si>
  <si>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</si>
  <si>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</si>
  <si>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</si>
  <si>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</si>
  <si>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</si>
  <si>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</si>
  <si>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</si>
  <si>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</si>
  <si>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</si>
  <si>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</si>
  <si>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</si>
  <si>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</si>
  <si>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</si>
  <si>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</si>
  <si>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</si>
  <si>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</si>
  <si>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</si>
  <si>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</si>
  <si>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</si>
  <si>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</si>
  <si>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</si>
  <si>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</si>
  <si>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</si>
  <si>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</si>
  <si>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</si>
  <si>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</si>
  <si>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</si>
  <si>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</si>
  <si>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</si>
  <si>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</si>
  <si>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</si>
  <si>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</si>
  <si>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</si>
  <si>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</si>
  <si>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</si>
  <si>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</si>
  <si>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</si>
  <si>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</si>
  <si>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</si>
  <si>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</si>
  <si>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</si>
  <si>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</si>
  <si>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</si>
  <si>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</si>
  <si>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</si>
  <si>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</si>
  <si>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</si>
  <si>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</si>
  <si>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</si>
  <si>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</si>
  <si>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</si>
  <si>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</si>
  <si>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</si>
  <si>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</si>
  <si>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</si>
  <si>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</si>
  <si>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</si>
  <si>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</si>
  <si>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</si>
  <si>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</si>
  <si>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</si>
  <si>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</si>
  <si>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</si>
  <si>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</si>
  <si>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</si>
  <si>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</si>
  <si>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</si>
  <si>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</si>
  <si>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</si>
  <si>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</si>
  <si>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</si>
  <si>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</si>
  <si>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</si>
  <si>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</si>
  <si>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</si>
  <si>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</si>
  <si>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</si>
  <si>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</si>
  <si>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</si>
  <si>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</si>
  <si>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</si>
  <si>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</si>
  <si>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</si>
  <si>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</si>
  <si>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</si>
  <si>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</si>
  <si>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</si>
  <si>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</si>
  <si>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</si>
  <si>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</si>
  <si>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</si>
  <si>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</si>
  <si>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</si>
  <si>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</si>
  <si>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</si>
  <si>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</si>
  <si>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</si>
  <si>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</si>
  <si>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</si>
  <si>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</si>
  <si>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</si>
  <si>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</si>
  <si>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</si>
  <si>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</si>
  <si>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</si>
  <si>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</si>
  <si>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</si>
  <si>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</si>
  <si>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</si>
  <si>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</si>
  <si>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</si>
  <si>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</si>
  <si>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</si>
  <si>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</si>
  <si>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</si>
  <si>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</si>
  <si>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</si>
  <si>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</si>
  <si>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</si>
  <si>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</si>
  <si>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</si>
  <si>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</si>
  <si>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</si>
  <si>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</si>
  <si>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</si>
  <si>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</si>
  <si>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</si>
  <si>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</si>
  <si>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</si>
  <si>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</si>
  <si>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</si>
  <si>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</si>
  <si>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</si>
  <si>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</si>
  <si>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</si>
  <si>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</si>
  <si>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</si>
  <si>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</si>
  <si>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</si>
  <si>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</si>
  <si>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</si>
  <si>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</si>
  <si>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</si>
  <si>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</si>
  <si>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</si>
  <si>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</si>
  <si>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</si>
  <si>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</si>
  <si>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</si>
  <si>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</si>
  <si>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</si>
  <si>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</si>
  <si>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</si>
  <si>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</si>
  <si>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</si>
  <si>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</si>
  <si>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</si>
  <si>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</si>
  <si>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</si>
  <si>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</si>
  <si>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</si>
  <si>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</si>
  <si>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</si>
  <si>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</si>
  <si>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</si>
  <si>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</si>
  <si>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</si>
  <si>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</si>
  <si>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</si>
  <si>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</si>
  <si>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</si>
  <si>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</si>
  <si>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</si>
  <si>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</si>
  <si>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</si>
  <si>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</si>
  <si>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</si>
  <si>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</si>
  <si>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</si>
  <si>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</si>
  <si>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</si>
  <si>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</si>
  <si>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</si>
  <si>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</si>
  <si>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</si>
  <si>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</si>
  <si>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</si>
  <si>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</si>
  <si>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</si>
  <si>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</si>
  <si>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</si>
  <si>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</si>
  <si>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</si>
  <si>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</si>
  <si>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</si>
  <si>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</si>
  <si>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</si>
  <si>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</si>
  <si>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</si>
  <si>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</si>
  <si>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</si>
  <si>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</si>
  <si>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</si>
  <si>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</si>
  <si>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</si>
  <si>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</si>
  <si>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</si>
  <si>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</si>
  <si>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</si>
  <si>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</si>
  <si>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</si>
  <si>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</si>
  <si>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</si>
  <si>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</si>
  <si>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</si>
  <si>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</si>
  <si>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</si>
  <si>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</si>
  <si>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</si>
  <si>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</si>
  <si>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</si>
  <si>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</si>
  <si>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</si>
  <si>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</si>
  <si>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</si>
  <si>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</si>
  <si>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</si>
  <si>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</si>
  <si>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</si>
  <si>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</si>
  <si>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</si>
  <si>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</si>
  <si>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</si>
  <si>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</si>
  <si>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</si>
  <si>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</si>
  <si>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</si>
  <si>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</si>
  <si>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</si>
  <si>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</si>
  <si>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</si>
  <si>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</si>
  <si>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</si>
  <si>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</si>
  <si>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</si>
  <si>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</si>
  <si>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</si>
  <si>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</si>
  <si>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</si>
  <si>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</si>
  <si>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</si>
  <si>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</si>
  <si>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</si>
  <si>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</si>
  <si>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</si>
  <si>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</si>
  <si>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</si>
  <si>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</si>
  <si>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</si>
  <si>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</si>
  <si>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</si>
  <si>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</si>
  <si>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</si>
  <si>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</si>
  <si>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</si>
  <si>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</si>
  <si>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</si>
  <si>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</si>
  <si>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</si>
  <si>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</si>
  <si>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</si>
  <si>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</si>
  <si>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</si>
  <si>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</si>
  <si>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</si>
  <si>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</si>
  <si>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</si>
  <si>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</si>
  <si>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</si>
  <si>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</si>
  <si>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</si>
  <si>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</si>
  <si>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</si>
  <si>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</si>
  <si>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</si>
  <si>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</si>
  <si>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</si>
  <si>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</si>
  <si>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</si>
  <si>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</si>
  <si>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</si>
  <si>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</si>
  <si>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</si>
  <si>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</si>
  <si>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</si>
  <si>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</si>
  <si>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</si>
  <si>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</si>
  <si>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</si>
  <si>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</si>
  <si>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</si>
  <si>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</si>
  <si>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</si>
  <si>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</si>
  <si>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</si>
  <si>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</si>
  <si>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</si>
  <si>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</si>
  <si>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</si>
  <si>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</si>
  <si>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</si>
  <si>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</si>
  <si>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</si>
  <si>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</si>
  <si>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</si>
  <si>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</si>
  <si>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</si>
  <si>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</si>
  <si>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</si>
  <si>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</si>
  <si>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</si>
  <si>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</si>
  <si>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</si>
  <si>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</si>
  <si>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</si>
  <si>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</si>
  <si>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</si>
  <si>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</si>
  <si>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</si>
  <si>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</si>
  <si>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</si>
  <si>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</si>
  <si>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</si>
  <si>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</si>
  <si>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</si>
  <si>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</si>
  <si>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</si>
  <si>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</si>
  <si>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</si>
  <si>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</si>
  <si>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</si>
  <si>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</si>
  <si>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</si>
  <si>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</si>
  <si>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</si>
  <si>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</si>
  <si>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</si>
  <si>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</si>
  <si>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</si>
  <si>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</si>
  <si>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</si>
  <si>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</si>
  <si>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</si>
  <si>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</si>
  <si>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</si>
  <si>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</si>
  <si>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</si>
  <si>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</si>
  <si>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</si>
  <si>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</si>
  <si>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</si>
  <si>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</si>
  <si>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</si>
  <si>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</si>
  <si>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</si>
  <si>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</si>
  <si>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</si>
  <si>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</si>
  <si>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</si>
  <si>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</si>
  <si>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</si>
  <si>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</si>
  <si>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</si>
  <si>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</si>
  <si>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</si>
  <si>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</si>
  <si>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</si>
  <si>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</si>
  <si>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</si>
  <si>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</si>
  <si>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</si>
  <si>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</si>
  <si>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</si>
  <si>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</si>
  <si>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</si>
  <si>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</si>
  <si>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</si>
  <si>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</si>
  <si>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</si>
  <si>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</si>
  <si>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</si>
  <si>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</si>
  <si>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</si>
  <si>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</si>
  <si>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</si>
  <si>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</si>
  <si>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</si>
  <si>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</si>
  <si>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</si>
  <si>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</si>
  <si>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</si>
  <si>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</si>
  <si>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</si>
  <si>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</si>
  <si>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</si>
  <si>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</si>
  <si>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</si>
  <si>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</si>
  <si>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</si>
  <si>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</si>
  <si>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</si>
  <si>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</si>
  <si>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</si>
  <si>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</si>
  <si>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</si>
  <si>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</si>
  <si>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</si>
  <si>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</si>
  <si>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</si>
  <si>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</si>
  <si>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</si>
  <si>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</si>
  <si>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</si>
  <si>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</si>
  <si>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</si>
  <si>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</si>
  <si>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</si>
  <si>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</si>
  <si>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</si>
  <si>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</si>
  <si>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</si>
  <si>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</si>
  <si>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</si>
  <si>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</si>
  <si>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</si>
  <si>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</si>
  <si>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</si>
  <si>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</si>
  <si>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</si>
  <si>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</si>
  <si>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</si>
  <si>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</si>
  <si>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</si>
  <si>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</si>
  <si>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</si>
  <si>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</si>
  <si>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</si>
  <si>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</si>
  <si>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</si>
  <si>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</si>
  <si>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</si>
  <si>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</si>
  <si>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</si>
  <si>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</si>
  <si>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</si>
  <si>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</si>
  <si>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</si>
  <si>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</si>
  <si>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</si>
  <si>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</si>
  <si>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</si>
  <si>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</si>
  <si>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</si>
  <si>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</si>
  <si>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</si>
  <si>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</si>
  <si>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</si>
  <si>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</si>
  <si>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</si>
  <si>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</si>
  <si>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</si>
  <si>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</si>
  <si>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</si>
  <si>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</si>
  <si>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</si>
  <si>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</si>
  <si>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</si>
  <si>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</si>
  <si>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</si>
  <si>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</si>
  <si>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</si>
  <si>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</si>
  <si>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</si>
  <si>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</si>
  <si>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</si>
  <si>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</si>
  <si>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</si>
  <si>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</si>
  <si>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</si>
  <si>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</si>
  <si>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</si>
  <si>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</si>
  <si>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</si>
  <si>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</si>
  <si>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</si>
  <si>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</si>
  <si>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</si>
  <si>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</si>
  <si>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</si>
  <si>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</si>
  <si>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</si>
  <si>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</si>
  <si>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</si>
  <si>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</si>
  <si>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</si>
  <si>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</si>
  <si>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</si>
  <si>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</si>
  <si>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</si>
  <si>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</si>
  <si>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</si>
  <si>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</si>
  <si>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</si>
  <si>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</si>
  <si>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</si>
  <si>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</si>
  <si>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</si>
  <si>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</si>
  <si>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</si>
  <si>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</si>
  <si>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</si>
  <si>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</si>
  <si>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</si>
  <si>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</si>
  <si>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</si>
  <si>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</si>
  <si>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</si>
  <si>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</si>
  <si>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</si>
  <si>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</si>
  <si>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</si>
  <si>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</si>
  <si>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</si>
  <si>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</si>
  <si>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</si>
  <si>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</si>
  <si>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</si>
  <si>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</si>
  <si>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</si>
  <si>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</si>
  <si>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</si>
  <si>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</si>
  <si>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</si>
  <si>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</si>
  <si>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</si>
  <si>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</si>
  <si>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</si>
  <si>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</si>
  <si>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</si>
  <si>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</si>
  <si>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</si>
  <si>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</si>
  <si>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</si>
  <si>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</si>
  <si>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</si>
  <si>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</si>
  <si>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</si>
  <si>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</si>
  <si>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</si>
  <si>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</si>
  <si>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</si>
  <si>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</si>
  <si>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</si>
  <si>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</si>
  <si>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</si>
  <si>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</si>
  <si>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</si>
  <si>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</si>
  <si>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</si>
  <si>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</si>
  <si>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</si>
  <si>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</si>
  <si>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</si>
  <si>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</si>
  <si>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</si>
  <si>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</si>
  <si>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</si>
  <si>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</si>
  <si>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</si>
  <si>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</si>
  <si>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</si>
  <si>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</si>
  <si>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</si>
  <si>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</si>
  <si>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</si>
  <si>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</si>
  <si>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</si>
  <si>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</si>
  <si>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</si>
  <si>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</si>
  <si>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</si>
  <si>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</si>
  <si>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</si>
  <si>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</si>
  <si>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</si>
  <si>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</si>
  <si>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</si>
  <si>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</si>
  <si>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</si>
  <si>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</si>
  <si>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</si>
  <si>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</si>
  <si>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</si>
  <si>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</si>
  <si>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</si>
  <si>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</si>
  <si>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</si>
  <si>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</si>
  <si>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</si>
  <si>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</si>
  <si>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</si>
  <si>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</si>
  <si>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</si>
  <si>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</si>
  <si>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</si>
  <si>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</si>
  <si>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</si>
  <si>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</si>
  <si>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</si>
  <si>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</si>
  <si>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</si>
  <si>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</si>
  <si>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</si>
  <si>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</si>
  <si>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</si>
  <si>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</si>
  <si>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</si>
  <si>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</si>
  <si>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</si>
  <si>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</si>
  <si>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</si>
  <si>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</si>
  <si>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</si>
  <si>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</si>
  <si>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</si>
  <si>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</si>
  <si>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</si>
  <si>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</si>
  <si>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</si>
  <si>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</si>
  <si>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</si>
  <si>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</si>
  <si>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</si>
  <si>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</si>
  <si>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</si>
  <si>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</si>
  <si>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</si>
  <si>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</si>
  <si>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</si>
  <si>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</si>
  <si>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</si>
  <si>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</si>
  <si>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</si>
  <si>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</si>
  <si>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</si>
  <si>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</si>
  <si>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</si>
  <si>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</si>
  <si>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</si>
  <si>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</si>
  <si>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</si>
  <si>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</si>
  <si>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</si>
  <si>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</si>
  <si>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</si>
  <si>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</si>
  <si>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</si>
  <si>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</si>
  <si>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</si>
  <si>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</si>
  <si>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</si>
  <si>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</si>
  <si>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</si>
  <si>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</si>
  <si>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</si>
  <si>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</si>
  <si>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</si>
  <si>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</si>
  <si>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</si>
  <si>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</si>
  <si>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</si>
  <si>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</si>
  <si>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</si>
  <si>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</si>
  <si>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</si>
  <si>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</si>
  <si>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</si>
  <si>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</si>
  <si>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</si>
  <si>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</si>
  <si>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</si>
  <si>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</si>
  <si>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</si>
  <si>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</si>
  <si>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</si>
  <si>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</si>
  <si>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</si>
  <si>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</si>
  <si>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</si>
  <si>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</si>
  <si>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</si>
  <si>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</si>
  <si>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</si>
  <si>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</si>
  <si>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</si>
  <si>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</si>
  <si>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</si>
  <si>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</si>
  <si>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</si>
  <si>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</si>
  <si>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</si>
  <si>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</si>
  <si>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</si>
  <si>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</si>
  <si>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</si>
  <si>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</si>
  <si>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</si>
  <si>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</si>
  <si>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</si>
  <si>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</si>
  <si>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</si>
  <si>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</si>
  <si>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</si>
  <si>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</si>
  <si>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</si>
  <si>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</si>
  <si>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</si>
  <si>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</si>
  <si>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</si>
  <si>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</si>
  <si>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</si>
  <si>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</si>
  <si>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</si>
  <si>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</si>
  <si>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</si>
  <si>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</si>
  <si>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</si>
  <si>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</si>
  <si>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</si>
  <si>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</si>
  <si>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</si>
  <si>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</si>
  <si>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</si>
  <si>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</si>
  <si>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</si>
  <si>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</si>
  <si>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</si>
  <si>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</si>
  <si>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</si>
  <si>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</si>
  <si>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</si>
  <si>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</si>
  <si>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</si>
  <si>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</si>
  <si>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</si>
  <si>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</si>
  <si>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</si>
  <si>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</si>
  <si>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</si>
  <si>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</si>
  <si>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</si>
  <si>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</si>
  <si>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</si>
  <si>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</si>
  <si>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</si>
  <si>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</si>
  <si>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</si>
  <si>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</si>
  <si>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</si>
  <si>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</si>
  <si>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</si>
  <si>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</si>
  <si>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</si>
  <si>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</si>
  <si>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</si>
  <si>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</si>
  <si>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</si>
  <si>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</si>
  <si>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</si>
  <si>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</si>
  <si>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</si>
  <si>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</si>
  <si>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</si>
  <si>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</si>
  <si>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</si>
  <si>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</si>
  <si>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</si>
  <si>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</si>
  <si>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</si>
  <si>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</si>
  <si>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</si>
  <si>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</si>
  <si>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</si>
  <si>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</si>
  <si>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</si>
  <si>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</si>
  <si>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</si>
  <si>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</si>
  <si>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</si>
  <si>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</si>
  <si>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</si>
  <si>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</si>
  <si>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</si>
  <si>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</si>
  <si>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</si>
  <si>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</si>
  <si>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</si>
  <si>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</si>
  <si>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</si>
  <si>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</si>
  <si>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</si>
  <si>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</si>
  <si>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</si>
  <si>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</si>
  <si>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</si>
  <si>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</si>
  <si>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</si>
  <si>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</si>
  <si>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</si>
  <si>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</si>
  <si>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</si>
  <si>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</si>
  <si>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</si>
  <si>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</si>
  <si>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</si>
  <si>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</si>
  <si>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</si>
  <si>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</si>
  <si>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</si>
  <si>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</si>
  <si>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</si>
  <si>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</si>
  <si>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</si>
  <si>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</si>
  <si>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</si>
  <si>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</si>
  <si>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</si>
  <si>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</si>
  <si>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</si>
  <si>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</si>
  <si>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</si>
  <si>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</si>
  <si>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</si>
  <si>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</si>
  <si>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</si>
  <si>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</si>
  <si>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</si>
  <si>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</si>
  <si>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</si>
  <si>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</si>
  <si>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</si>
  <si>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</si>
  <si>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</si>
  <si>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</si>
  <si>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</si>
  <si>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</si>
  <si>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</si>
  <si>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</si>
  <si>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</si>
  <si>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</si>
  <si>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</si>
  <si>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</si>
  <si>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</si>
  <si>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</si>
  <si>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</si>
  <si>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</si>
  <si>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</si>
  <si>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</si>
  <si>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</si>
  <si>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</si>
  <si>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</si>
  <si>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</si>
  <si>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</si>
  <si>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</si>
  <si>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</si>
  <si>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</si>
  <si>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</si>
  <si>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</si>
  <si>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</si>
  <si>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</si>
  <si>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</si>
  <si>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</si>
  <si>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</si>
  <si>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</si>
  <si>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</si>
  <si>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</si>
  <si>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</si>
  <si>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</si>
  <si>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</si>
  <si>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</si>
  <si>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</si>
  <si>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</si>
  <si>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</si>
  <si>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</si>
  <si>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</si>
  <si>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</si>
  <si>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</si>
  <si>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</si>
  <si>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</si>
  <si>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</si>
  <si>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</si>
  <si>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</si>
  <si>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</si>
  <si>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</si>
  <si>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</si>
  <si>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</si>
  <si>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</si>
  <si>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</si>
  <si>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</si>
  <si>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</si>
  <si>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</si>
  <si>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</si>
  <si>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</si>
  <si>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</si>
  <si>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</si>
  <si>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</si>
  <si>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</si>
  <si>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</si>
  <si>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</si>
  <si>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</si>
  <si>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</si>
  <si>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</si>
  <si>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</si>
  <si>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</si>
  <si>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</si>
  <si>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</si>
  <si>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</si>
  <si>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</si>
  <si>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</si>
  <si>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</si>
  <si>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</si>
  <si>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</si>
  <si>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</si>
  <si>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</si>
  <si>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</si>
  <si>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</si>
  <si>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</si>
  <si>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</si>
  <si>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北京市</t>
  </si>
  <si>
    <t>企业</t>
  </si>
  <si>
    <r>
      <rPr>
        <sz val="10"/>
        <color indexed="8"/>
        <rFont val="宋体"/>
        <family val="3"/>
        <charset val="134"/>
      </rPr>
      <t>朝阳公园南路</t>
    </r>
    <r>
      <rPr>
        <sz val="10"/>
        <color indexed="8"/>
        <rFont val="Arial"/>
        <family val="2"/>
      </rPr>
      <t>10</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1</t>
    </r>
    <r>
      <rPr>
        <sz val="10"/>
        <color indexed="8"/>
        <rFont val="宋体"/>
        <family val="3"/>
        <charset val="134"/>
      </rPr>
      <t>层</t>
    </r>
    <r>
      <rPr>
        <sz val="10"/>
        <color indexed="8"/>
        <rFont val="Arial"/>
        <family val="2"/>
      </rPr>
      <t>2-4</t>
    </r>
    <phoneticPr fontId="3" type="noConversion"/>
  </si>
  <si>
    <t>是</t>
  </si>
  <si>
    <t>地上</t>
  </si>
  <si>
    <t>1层2-4</t>
  </si>
  <si>
    <t>1层2-4</t>
    <phoneticPr fontId="7" type="noConversion"/>
  </si>
  <si>
    <t>2层202</t>
  </si>
  <si>
    <t>2层202</t>
    <phoneticPr fontId="7" type="noConversion"/>
  </si>
  <si>
    <t>成新度</t>
  </si>
  <si>
    <t>办公收益法 (元)</t>
  </si>
  <si>
    <t>办公收益法 (元)</t>
    <phoneticPr fontId="16" type="noConversion"/>
  </si>
  <si>
    <t>商业收益法 (元)</t>
  </si>
  <si>
    <t>商业收益法 (元)</t>
    <phoneticPr fontId="16" type="noConversion"/>
  </si>
  <si>
    <t>单套模式</t>
  </si>
  <si>
    <t>售价</t>
  </si>
  <si>
    <t>押一</t>
  </si>
  <si>
    <t>钢混</t>
  </si>
  <si>
    <t>非生产用房</t>
  </si>
  <si>
    <t>否</t>
  </si>
  <si>
    <t>比较法-商业</t>
  </si>
  <si>
    <t>结果表-商业</t>
    <phoneticPr fontId="16" type="noConversion"/>
  </si>
  <si>
    <t>比较法-办公</t>
  </si>
  <si>
    <r>
      <rPr>
        <sz val="10"/>
        <color indexed="8"/>
        <rFont val="宋体"/>
        <family val="3"/>
        <charset val="134"/>
      </rPr>
      <t>售价挂牌</t>
    </r>
    <r>
      <rPr>
        <sz val="10"/>
        <color indexed="8"/>
        <rFont val="Arial"/>
        <family val="2"/>
      </rPr>
      <t>15-17</t>
    </r>
    <r>
      <rPr>
        <sz val="10"/>
        <color indexed="8"/>
        <rFont val="宋体"/>
        <family val="3"/>
        <charset val="134"/>
      </rPr>
      <t>万</t>
    </r>
    <phoneticPr fontId="8" type="noConversion"/>
  </si>
  <si>
    <r>
      <rPr>
        <sz val="10"/>
        <color indexed="8"/>
        <rFont val="宋体"/>
        <family val="3"/>
        <charset val="134"/>
      </rPr>
      <t>租金小面积的</t>
    </r>
    <r>
      <rPr>
        <sz val="10"/>
        <color indexed="8"/>
        <rFont val="Arial"/>
        <family val="2"/>
      </rPr>
      <t>22</t>
    </r>
    <r>
      <rPr>
        <sz val="10"/>
        <color indexed="8"/>
        <rFont val="宋体"/>
        <family val="3"/>
        <charset val="134"/>
      </rPr>
      <t>，按</t>
    </r>
    <r>
      <rPr>
        <sz val="10"/>
        <color indexed="8"/>
        <rFont val="Arial"/>
        <family val="2"/>
      </rPr>
      <t>14</t>
    </r>
    <r>
      <rPr>
        <sz val="10"/>
        <color indexed="8"/>
        <rFont val="宋体"/>
        <family val="3"/>
        <charset val="134"/>
      </rPr>
      <t>，回报率反推</t>
    </r>
    <phoneticPr fontId="8" type="noConversion"/>
  </si>
  <si>
    <t>看位置</t>
    <phoneticPr fontId="8" type="noConversion"/>
  </si>
  <si>
    <r>
      <rPr>
        <sz val="10"/>
        <color indexed="8"/>
        <rFont val="宋体"/>
        <family val="3"/>
        <charset val="134"/>
      </rPr>
      <t>租金</t>
    </r>
    <r>
      <rPr>
        <sz val="10"/>
        <color indexed="8"/>
        <rFont val="Arial"/>
        <family val="2"/>
      </rPr>
      <t>8.5</t>
    </r>
    <r>
      <rPr>
        <sz val="10"/>
        <color indexed="8"/>
        <rFont val="宋体"/>
        <family val="3"/>
        <charset val="134"/>
      </rPr>
      <t>，回报率</t>
    </r>
    <r>
      <rPr>
        <sz val="10"/>
        <color indexed="8"/>
        <rFont val="Arial"/>
        <family val="2"/>
      </rPr>
      <t>5%</t>
    </r>
    <r>
      <rPr>
        <sz val="10"/>
        <color indexed="8"/>
        <rFont val="宋体"/>
        <family val="3"/>
        <charset val="134"/>
      </rPr>
      <t>反推</t>
    </r>
    <phoneticPr fontId="134" type="noConversion"/>
  </si>
  <si>
    <t>空置率高</t>
    <phoneticPr fontId="134" type="noConversion"/>
  </si>
  <si>
    <r>
      <rPr>
        <sz val="10"/>
        <color indexed="8"/>
        <rFont val="宋体"/>
        <family val="3"/>
        <charset val="134"/>
      </rPr>
      <t>朝阳公园南路</t>
    </r>
    <r>
      <rPr>
        <sz val="10"/>
        <color indexed="8"/>
        <rFont val="Arial"/>
        <family val="2"/>
      </rPr>
      <t>10</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2</t>
    </r>
    <r>
      <rPr>
        <sz val="10"/>
        <color indexed="8"/>
        <rFont val="宋体"/>
        <family val="3"/>
        <charset val="134"/>
      </rPr>
      <t>层</t>
    </r>
    <r>
      <rPr>
        <sz val="10"/>
        <color indexed="8"/>
        <rFont val="Arial"/>
        <family val="2"/>
      </rPr>
      <t>202</t>
    </r>
    <phoneticPr fontId="3" type="noConversion"/>
  </si>
  <si>
    <t>自定义容积率</t>
  </si>
  <si>
    <t>不临65条商业街</t>
  </si>
  <si>
    <t>与级别开发程度一致</t>
  </si>
  <si>
    <t>较好</t>
  </si>
  <si>
    <t>好</t>
  </si>
  <si>
    <t>未包含在土地购买价格中</t>
  </si>
  <si>
    <t>全部缴纳</t>
  </si>
  <si>
    <t>已包含在土地取得成本中</t>
  </si>
  <si>
    <t>商业1层2-4</t>
    <phoneticPr fontId="134" type="noConversion"/>
  </si>
  <si>
    <t>办公2层202</t>
    <phoneticPr fontId="134" type="noConversion"/>
  </si>
  <si>
    <t>商务金融用地</t>
  </si>
  <si>
    <r>
      <rPr>
        <sz val="11"/>
        <color indexed="8"/>
        <rFont val="宋体"/>
        <family val="3"/>
        <charset val="134"/>
      </rPr>
      <t>地下</t>
    </r>
    <r>
      <rPr>
        <sz val="11"/>
        <color indexed="8"/>
        <rFont val="Arial"/>
        <family val="2"/>
      </rPr>
      <t>1</t>
    </r>
    <phoneticPr fontId="30" type="noConversion"/>
  </si>
  <si>
    <t>地下1</t>
  </si>
  <si>
    <t>楼层修正</t>
  </si>
  <si>
    <t>报价</t>
  </si>
  <si>
    <t>报价</t>
    <phoneticPr fontId="31" type="noConversion"/>
  </si>
  <si>
    <t>正常</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</si>
</sst>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6" borderId="0" xfId="0" applyFont="1" applyFill="1" applyProtection="1">
      <alignment vertical="center"/>
      <protection locked="0"/>
    </xf>
    <xf numFmtId="0" fontId="54" fillId="6" borderId="9"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627714</xdr:colOff>
      <xdr:row>36</xdr:row>
      <xdr:rowOff>132562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485714" cy="6304762"/>
        </a:xfrm>
        <a:prstGeom prst="rect">
          <a:avLst/>
        </a:prstGeom>
      </xdr:spPr>
    </xdr:pic>
    <xdr:clientData/>
  </xdr:twoCellAnchor>
  <xdr:twoCellAnchor editAs="oneCell">
    <xdr:from>
      <xdr:col>5</xdr:col>
      <xdr:colOff>609600</xdr:colOff>
      <xdr:row>15</xdr:row>
      <xdr:rowOff>114300</xdr:rowOff>
    </xdr:from>
    <xdr:to>
      <xdr:col>11</xdr:col>
      <xdr:colOff>609086</xdr:colOff>
      <xdr:row>37</xdr:row>
      <xdr:rowOff>132876</xdr:rowOff>
    </xdr:to>
    <xdr:pic>
      <xdr:nvPicPr>
        <xdr:cNvPr id="3" name="图片 2"/>
        <xdr:cNvPicPr>
          <a:picLocks noChangeAspect="1"/>
        </xdr:cNvPicPr>
      </xdr:nvPicPr>
      <xdr:blipFill>
        <a:blip xmlns:r="http://schemas.openxmlformats.org/officeDocument/2006/relationships" r:embed="rId2"/>
        <a:stretch>
          <a:fillRect/>
        </a:stretch>
      </xdr:blipFill>
      <xdr:spPr>
        <a:xfrm>
          <a:off x="4038600" y="2686050"/>
          <a:ext cx="4114286" cy="3790476"/>
        </a:xfrm>
        <a:prstGeom prst="rect">
          <a:avLst/>
        </a:prstGeom>
      </xdr:spPr>
    </xdr:pic>
    <xdr:clientData/>
  </xdr:twoCellAnchor>
  <xdr:twoCellAnchor editAs="oneCell">
    <xdr:from>
      <xdr:col>0</xdr:col>
      <xdr:colOff>0</xdr:colOff>
      <xdr:row>39</xdr:row>
      <xdr:rowOff>104775</xdr:rowOff>
    </xdr:from>
    <xdr:to>
      <xdr:col>5</xdr:col>
      <xdr:colOff>494809</xdr:colOff>
      <xdr:row>76</xdr:row>
      <xdr:rowOff>170649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791325"/>
          <a:ext cx="3923809" cy="6409524"/>
        </a:xfrm>
        <a:prstGeom prst="rect">
          <a:avLst/>
        </a:prstGeom>
      </xdr:spPr>
    </xdr:pic>
    <xdr:clientData/>
  </xdr:twoCellAnchor>
  <xdr:twoCellAnchor editAs="oneCell">
    <xdr:from>
      <xdr:col>5</xdr:col>
      <xdr:colOff>342900</xdr:colOff>
      <xdr:row>39</xdr:row>
      <xdr:rowOff>114300</xdr:rowOff>
    </xdr:from>
    <xdr:to>
      <xdr:col>18</xdr:col>
      <xdr:colOff>398928</xdr:colOff>
      <xdr:row>61</xdr:row>
      <xdr:rowOff>18590</xdr:rowOff>
    </xdr:to>
    <xdr:pic>
      <xdr:nvPicPr>
        <xdr:cNvPr id="5" name="图片 4"/>
        <xdr:cNvPicPr>
          <a:picLocks noChangeAspect="1"/>
        </xdr:cNvPicPr>
      </xdr:nvPicPr>
      <xdr:blipFill>
        <a:blip xmlns:r="http://schemas.openxmlformats.org/officeDocument/2006/relationships" r:embed="rId4"/>
        <a:stretch>
          <a:fillRect/>
        </a:stretch>
      </xdr:blipFill>
      <xdr:spPr>
        <a:xfrm>
          <a:off x="3771900" y="6800850"/>
          <a:ext cx="8971428" cy="3676190"/>
        </a:xfrm>
        <a:prstGeom prst="rect">
          <a:avLst/>
        </a:prstGeom>
      </xdr:spPr>
    </xdr:pic>
    <xdr:clientData/>
  </xdr:twoCellAnchor>
  <xdr:twoCellAnchor editAs="oneCell">
    <xdr:from>
      <xdr:col>5</xdr:col>
      <xdr:colOff>276225</xdr:colOff>
      <xdr:row>60</xdr:row>
      <xdr:rowOff>76200</xdr:rowOff>
    </xdr:from>
    <xdr:to>
      <xdr:col>18</xdr:col>
      <xdr:colOff>417968</xdr:colOff>
      <xdr:row>81</xdr:row>
      <xdr:rowOff>151940</xdr:rowOff>
    </xdr:to>
    <xdr:pic>
      <xdr:nvPicPr>
        <xdr:cNvPr id="6" name="图片 5"/>
        <xdr:cNvPicPr>
          <a:picLocks noChangeAspect="1"/>
        </xdr:cNvPicPr>
      </xdr:nvPicPr>
      <xdr:blipFill>
        <a:blip xmlns:r="http://schemas.openxmlformats.org/officeDocument/2006/relationships" r:embed="rId5"/>
        <a:stretch>
          <a:fillRect/>
        </a:stretch>
      </xdr:blipFill>
      <xdr:spPr>
        <a:xfrm>
          <a:off x="3705225" y="10363200"/>
          <a:ext cx="9057143" cy="3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受贵公司委托，我公司对北京市进行了预评估。</v>
      </c>
    </row>
    <row r="7" spans="1:2" s="1203" customFormat="1">
      <c r="A7" s="1201" t="s">
        <v>566</v>
      </c>
      <c r="B7" s="1202" t="str">
        <f>'预评函-1'!A7</f>
        <v>估价对象为北京市房地产，为所有。根据《国有土地使用证》[]，估价对象（分摊）出让国有建设用地使用权面积为0平方米，建筑面积为778.02平方米。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估价对象为北京市房地产,属开发建设的，该项目尚在开发建设中。根据《国有土地使用证》[]，估价对象（分摊）出让国有建设用地使用权面积为0平方米，规划建筑面积为778.02平方米。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2024年7月12日（评估专业人员实地查勘之日）</v>
      </c>
    </row>
    <row r="13" spans="1:2" s="1203" customFormat="1">
      <c r="A13" s="1201" t="s">
        <v>529</v>
      </c>
      <c r="B13" s="1202"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778.02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975</v>
      </c>
      <c r="C1" s="1541" t="s">
        <v>314</v>
      </c>
      <c r="D1" s="1543" t="s">
        <v>3344</v>
      </c>
      <c r="E1" s="1542" t="s">
        <v>976</v>
      </c>
      <c r="F1" s="1542" t="s">
        <v>977</v>
      </c>
      <c r="G1" s="1542" t="s">
        <v>978</v>
      </c>
      <c r="H1" s="1542" t="s">
        <v>979</v>
      </c>
      <c r="I1" s="1542" t="s">
        <v>980</v>
      </c>
      <c r="J1" s="1542" t="s">
        <v>981</v>
      </c>
      <c r="K1" s="1542" t="s">
        <v>982</v>
      </c>
      <c r="L1" s="1542" t="s">
        <v>983</v>
      </c>
      <c r="M1" s="1542" t="s">
        <v>984</v>
      </c>
      <c r="N1" s="1542" t="s">
        <v>985</v>
      </c>
      <c r="O1" s="1542" t="s">
        <v>986</v>
      </c>
      <c r="P1" s="1543" t="s">
        <v>309</v>
      </c>
      <c r="Q1" s="1543" t="s">
        <v>447</v>
      </c>
      <c r="R1" s="1542" t="s">
        <v>441</v>
      </c>
      <c r="S1" s="1542" t="s">
        <v>987</v>
      </c>
      <c r="T1" s="1544" t="s">
        <v>988</v>
      </c>
      <c r="U1" s="1542" t="s">
        <v>989</v>
      </c>
      <c r="V1" s="1542" t="s">
        <v>990</v>
      </c>
      <c r="W1" s="1542" t="s">
        <v>311</v>
      </c>
    </row>
    <row r="2" spans="1:23">
      <c r="A2" s="1546" t="s">
        <v>19</v>
      </c>
      <c r="B2" s="1546" t="s">
        <v>991</v>
      </c>
      <c r="C2" s="1547" t="s">
        <v>315</v>
      </c>
      <c r="D2" s="1548" t="s">
        <v>992</v>
      </c>
      <c r="E2" s="1548" t="s">
        <v>993</v>
      </c>
      <c r="F2" s="1548" t="s">
        <v>994</v>
      </c>
      <c r="G2" s="1548">
        <v>20</v>
      </c>
      <c r="H2" s="1548" t="s">
        <v>994</v>
      </c>
      <c r="I2" s="1548" t="s">
        <v>3330</v>
      </c>
      <c r="J2" s="1548" t="s">
        <v>995</v>
      </c>
      <c r="K2" s="1548" t="s">
        <v>996</v>
      </c>
      <c r="L2" s="1548" t="s">
        <v>996</v>
      </c>
      <c r="M2" s="1548" t="s">
        <v>996</v>
      </c>
      <c r="N2" s="1548" t="s">
        <v>996</v>
      </c>
      <c r="O2" s="1548" t="s">
        <v>996</v>
      </c>
      <c r="P2" s="1548" t="s">
        <v>996</v>
      </c>
      <c r="Q2" s="1548" t="s">
        <v>996</v>
      </c>
      <c r="R2" s="1548" t="s">
        <v>443</v>
      </c>
      <c r="S2" s="1548" t="s">
        <v>996</v>
      </c>
      <c r="T2" s="1548" t="s">
        <v>997</v>
      </c>
      <c r="U2" s="1548" t="s">
        <v>996</v>
      </c>
      <c r="V2" s="1548" t="s">
        <v>998</v>
      </c>
      <c r="W2" s="1548" t="s">
        <v>996</v>
      </c>
    </row>
    <row r="3" spans="1:23">
      <c r="A3" s="1546" t="s">
        <v>999</v>
      </c>
      <c r="B3" s="1549" t="s">
        <v>448</v>
      </c>
      <c r="C3" s="1550" t="s">
        <v>316</v>
      </c>
      <c r="D3" s="1548" t="s">
        <v>1000</v>
      </c>
      <c r="E3" s="1548" t="s">
        <v>13</v>
      </c>
      <c r="F3" s="1548" t="s">
        <v>1001</v>
      </c>
      <c r="G3" s="1548">
        <v>40</v>
      </c>
      <c r="H3" s="1548" t="s">
        <v>1001</v>
      </c>
      <c r="I3" s="1548" t="s">
        <v>3331</v>
      </c>
      <c r="J3" s="1548" t="s">
        <v>1002</v>
      </c>
      <c r="K3" s="1548" t="s">
        <v>1003</v>
      </c>
      <c r="L3" s="1548" t="s">
        <v>1003</v>
      </c>
      <c r="M3" s="1548" t="s">
        <v>1003</v>
      </c>
      <c r="N3" s="1548" t="s">
        <v>1003</v>
      </c>
      <c r="O3" s="1548" t="s">
        <v>1003</v>
      </c>
      <c r="P3" s="1548" t="s">
        <v>1003</v>
      </c>
      <c r="Q3" s="1548" t="s">
        <v>1003</v>
      </c>
      <c r="R3" s="1548" t="s">
        <v>442</v>
      </c>
      <c r="S3" s="1548" t="s">
        <v>1003</v>
      </c>
      <c r="T3" s="1548" t="s">
        <v>1004</v>
      </c>
      <c r="U3" s="1548" t="s">
        <v>1003</v>
      </c>
      <c r="V3" s="1548" t="s">
        <v>1005</v>
      </c>
      <c r="W3" s="1548" t="s">
        <v>1003</v>
      </c>
    </row>
    <row r="4" spans="1:23">
      <c r="A4" s="1546" t="s">
        <v>1006</v>
      </c>
      <c r="B4" s="1546" t="s">
        <v>1007</v>
      </c>
      <c r="C4" s="1547" t="s">
        <v>317</v>
      </c>
      <c r="D4" s="1548" t="s">
        <v>389</v>
      </c>
      <c r="E4" s="1548" t="s">
        <v>1008</v>
      </c>
      <c r="F4" s="1548" t="s">
        <v>1009</v>
      </c>
      <c r="G4" s="1548">
        <v>50</v>
      </c>
      <c r="H4" s="1548" t="s">
        <v>1009</v>
      </c>
      <c r="I4" s="1548" t="s">
        <v>3332</v>
      </c>
      <c r="K4" s="1548" t="s">
        <v>1010</v>
      </c>
      <c r="L4" s="1548" t="s">
        <v>1010</v>
      </c>
      <c r="M4" s="1548" t="s">
        <v>1010</v>
      </c>
      <c r="N4" s="1548" t="s">
        <v>1010</v>
      </c>
      <c r="O4" s="1548" t="s">
        <v>1010</v>
      </c>
      <c r="P4" s="1548" t="s">
        <v>1010</v>
      </c>
      <c r="Q4" s="1548" t="s">
        <v>1010</v>
      </c>
      <c r="R4" s="1548" t="s">
        <v>444</v>
      </c>
      <c r="S4" s="1548" t="s">
        <v>1010</v>
      </c>
      <c r="T4" s="1548" t="s">
        <v>1011</v>
      </c>
      <c r="U4" s="1548" t="s">
        <v>1010</v>
      </c>
      <c r="W4" s="1548" t="s">
        <v>1010</v>
      </c>
    </row>
    <row r="5" spans="1:23">
      <c r="A5" s="1546" t="s">
        <v>1012</v>
      </c>
      <c r="B5" s="1546" t="s">
        <v>1013</v>
      </c>
      <c r="C5" s="1547" t="s">
        <v>318</v>
      </c>
      <c r="F5" s="1548" t="s">
        <v>1014</v>
      </c>
      <c r="G5" s="1548">
        <v>70</v>
      </c>
      <c r="H5" s="1548" t="s">
        <v>1015</v>
      </c>
      <c r="I5" s="1548" t="s">
        <v>3333</v>
      </c>
      <c r="K5" s="1548" t="s">
        <v>1016</v>
      </c>
      <c r="L5" s="1548" t="s">
        <v>1016</v>
      </c>
      <c r="M5" s="1548" t="s">
        <v>1016</v>
      </c>
      <c r="N5" s="1548" t="s">
        <v>1016</v>
      </c>
      <c r="O5" s="1548" t="s">
        <v>1016</v>
      </c>
      <c r="P5" s="1548" t="s">
        <v>1016</v>
      </c>
      <c r="Q5" s="1548" t="s">
        <v>1016</v>
      </c>
      <c r="R5" s="1548" t="s">
        <v>445</v>
      </c>
      <c r="S5" s="1548" t="s">
        <v>1016</v>
      </c>
      <c r="T5" s="1548" t="s">
        <v>1017</v>
      </c>
      <c r="U5" s="1548" t="s">
        <v>1016</v>
      </c>
      <c r="W5" s="1548" t="s">
        <v>1016</v>
      </c>
    </row>
    <row r="6" spans="1:23">
      <c r="A6" s="1546" t="s">
        <v>1018</v>
      </c>
      <c r="B6" s="1549" t="s">
        <v>449</v>
      </c>
      <c r="C6" s="1552" t="s">
        <v>24</v>
      </c>
      <c r="F6" s="1548" t="s">
        <v>1015</v>
      </c>
      <c r="H6" s="1548" t="s">
        <v>1019</v>
      </c>
      <c r="I6" s="1548" t="s">
        <v>3334</v>
      </c>
      <c r="K6" s="1548" t="s">
        <v>1020</v>
      </c>
      <c r="L6" s="1548" t="s">
        <v>1020</v>
      </c>
      <c r="M6" s="1548" t="s">
        <v>1020</v>
      </c>
      <c r="N6" s="1548" t="s">
        <v>1020</v>
      </c>
      <c r="O6" s="1548" t="s">
        <v>1020</v>
      </c>
      <c r="P6" s="1548" t="s">
        <v>1020</v>
      </c>
      <c r="Q6" s="1548" t="s">
        <v>1020</v>
      </c>
      <c r="R6" s="1548" t="s">
        <v>446</v>
      </c>
      <c r="S6" s="1548" t="s">
        <v>1020</v>
      </c>
      <c r="T6" s="1548"/>
      <c r="U6" s="1548" t="s">
        <v>1020</v>
      </c>
      <c r="W6" s="1548" t="s">
        <v>1020</v>
      </c>
    </row>
    <row r="7" spans="1:23">
      <c r="A7" s="1546" t="s">
        <v>1021</v>
      </c>
      <c r="B7" s="1549" t="s">
        <v>450</v>
      </c>
      <c r="C7" s="1547" t="s">
        <v>25</v>
      </c>
      <c r="F7" s="1548" t="s">
        <v>1022</v>
      </c>
      <c r="H7" s="1548" t="s">
        <v>1023</v>
      </c>
      <c r="I7" s="1548" t="s">
        <v>3335</v>
      </c>
    </row>
    <row r="8" spans="1:23">
      <c r="A8" s="1546" t="s">
        <v>1024</v>
      </c>
      <c r="B8" s="1546" t="s">
        <v>1025</v>
      </c>
      <c r="C8" s="1547" t="s">
        <v>319</v>
      </c>
      <c r="F8" s="1548" t="s">
        <v>1026</v>
      </c>
      <c r="H8" s="1548" t="s">
        <v>2570</v>
      </c>
      <c r="I8" s="1548" t="s">
        <v>3336</v>
      </c>
    </row>
    <row r="9" spans="1:23">
      <c r="A9" s="1546" t="s">
        <v>1027</v>
      </c>
      <c r="B9" s="1546" t="s">
        <v>1028</v>
      </c>
      <c r="C9" s="1547" t="s">
        <v>320</v>
      </c>
      <c r="F9" s="1548" t="s">
        <v>1029</v>
      </c>
      <c r="H9" s="1548"/>
      <c r="I9" s="1551" t="s">
        <v>3337</v>
      </c>
    </row>
    <row r="10" spans="1:23">
      <c r="A10" s="1546" t="s">
        <v>1030</v>
      </c>
      <c r="B10" s="1546" t="s">
        <v>1031</v>
      </c>
      <c r="C10" s="1547" t="s">
        <v>321</v>
      </c>
      <c r="F10" s="1548" t="s">
        <v>2571</v>
      </c>
      <c r="I10" s="1551" t="s">
        <v>3338</v>
      </c>
    </row>
    <row r="11" spans="1:23">
      <c r="A11" s="1546" t="s">
        <v>1032</v>
      </c>
      <c r="B11" s="1546" t="s">
        <v>1033</v>
      </c>
      <c r="C11" s="1547" t="s">
        <v>322</v>
      </c>
      <c r="F11" s="1548" t="s">
        <v>13</v>
      </c>
      <c r="I11" s="1551" t="s">
        <v>3339</v>
      </c>
    </row>
    <row r="12" spans="1:23">
      <c r="A12" s="1546" t="s">
        <v>1034</v>
      </c>
      <c r="B12" s="1546" t="s">
        <v>1035</v>
      </c>
      <c r="C12" s="1547" t="s">
        <v>323</v>
      </c>
      <c r="I12" s="1551" t="s">
        <v>3340</v>
      </c>
    </row>
    <row r="13" spans="1:23">
      <c r="A13" s="1546" t="s">
        <v>1036</v>
      </c>
      <c r="B13" s="1546" t="s">
        <v>1037</v>
      </c>
      <c r="C13" s="1547" t="s">
        <v>324</v>
      </c>
      <c r="I13" s="1551" t="s">
        <v>3341</v>
      </c>
    </row>
    <row r="14" spans="1:23">
      <c r="A14" s="1546" t="s">
        <v>1038</v>
      </c>
      <c r="B14" s="1546" t="s">
        <v>1039</v>
      </c>
      <c r="C14" s="1548" t="s">
        <v>13</v>
      </c>
      <c r="I14" s="1551" t="s">
        <v>3342</v>
      </c>
    </row>
    <row r="15" spans="1:23">
      <c r="A15" s="1546" t="s">
        <v>1040</v>
      </c>
      <c r="B15" s="1546" t="s">
        <v>1041</v>
      </c>
      <c r="C15" s="1547"/>
      <c r="I15" s="1551" t="s">
        <v>3343</v>
      </c>
    </row>
    <row r="16" spans="1:23">
      <c r="A16" s="1546" t="s">
        <v>1042</v>
      </c>
      <c r="B16" s="1546" t="s">
        <v>312</v>
      </c>
      <c r="C16" s="1547"/>
    </row>
    <row r="17" spans="1:3">
      <c r="A17" s="1546" t="s">
        <v>1043</v>
      </c>
      <c r="B17" s="1546" t="s">
        <v>2282</v>
      </c>
      <c r="C17" s="1547"/>
    </row>
    <row r="18" spans="1:3">
      <c r="A18" s="1546" t="s">
        <v>1044</v>
      </c>
      <c r="B18" s="1546" t="s">
        <v>2426</v>
      </c>
      <c r="C18" s="1547"/>
    </row>
    <row r="19" spans="1:3">
      <c r="A19" s="1546" t="s">
        <v>1045</v>
      </c>
      <c r="B19" s="1546" t="s">
        <v>3384</v>
      </c>
      <c r="C19" s="1547"/>
    </row>
    <row r="20" spans="1:3">
      <c r="A20" s="1546" t="s">
        <v>1046</v>
      </c>
      <c r="B20" s="1546" t="s">
        <v>3386</v>
      </c>
      <c r="C20" s="1547"/>
    </row>
    <row r="21" spans="1:3">
      <c r="A21" s="1546" t="s">
        <v>1047</v>
      </c>
      <c r="B21" s="1546" t="s">
        <v>3394</v>
      </c>
      <c r="C21" s="1547"/>
    </row>
    <row r="22" spans="1:3">
      <c r="A22" s="1546" t="s">
        <v>1048</v>
      </c>
      <c r="B22" s="1546" t="s">
        <v>313</v>
      </c>
      <c r="C22" s="1547"/>
    </row>
    <row r="23" spans="1:3">
      <c r="A23" s="1546" t="s">
        <v>1049</v>
      </c>
      <c r="B23" s="1546" t="s">
        <v>313</v>
      </c>
      <c r="C23" s="1547"/>
    </row>
    <row r="24" spans="1:3">
      <c r="A24" s="1546" t="s">
        <v>1050</v>
      </c>
      <c r="B24" s="1546" t="s">
        <v>313</v>
      </c>
      <c r="C24" s="1547"/>
    </row>
    <row r="25" spans="1:3">
      <c r="A25" s="1546" t="s">
        <v>1051</v>
      </c>
      <c r="B25" s="1546" t="s">
        <v>313</v>
      </c>
      <c r="C25" s="1547"/>
    </row>
    <row r="26" spans="1:3">
      <c r="A26" s="1546" t="s">
        <v>1052</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2493</v>
      </c>
      <c r="B1" s="3014"/>
      <c r="C1" s="3014"/>
      <c r="D1" s="3014"/>
      <c r="E1" s="3014"/>
      <c r="F1" s="3015"/>
      <c r="I1" s="3437" t="s">
        <v>2586</v>
      </c>
      <c r="J1" s="3226"/>
      <c r="K1" s="3226"/>
      <c r="L1" s="3226"/>
      <c r="M1" s="3226"/>
      <c r="N1" s="3438"/>
      <c r="O1" s="3438"/>
      <c r="P1" s="3438"/>
      <c r="Q1" s="3438"/>
      <c r="R1" s="3438"/>
    </row>
    <row r="2" spans="1:18">
      <c r="A2" s="3017"/>
      <c r="B2" s="3018"/>
      <c r="C2" s="3018"/>
      <c r="D2" s="3018"/>
      <c r="E2" s="3018"/>
      <c r="F2" s="3019"/>
      <c r="I2" s="3526" t="s">
        <v>2573</v>
      </c>
      <c r="J2" s="3526"/>
      <c r="K2" s="3526"/>
      <c r="L2" s="3526"/>
      <c r="M2" s="3526"/>
      <c r="N2" s="3526"/>
      <c r="O2" s="3526"/>
      <c r="P2" s="3526"/>
      <c r="Q2" s="3526"/>
      <c r="R2" s="3526"/>
    </row>
    <row r="3" spans="1:18">
      <c r="A3" s="3020" t="s">
        <v>2494</v>
      </c>
      <c r="B3" s="3021">
        <f>项目基本情况!D3</f>
        <v>45485</v>
      </c>
      <c r="C3" s="3023"/>
      <c r="D3" s="3023"/>
      <c r="E3" s="3023"/>
      <c r="F3" s="3019"/>
      <c r="I3" s="3439"/>
      <c r="J3" s="3439" t="s">
        <v>2577</v>
      </c>
      <c r="K3" s="3439" t="s">
        <v>2578</v>
      </c>
      <c r="L3" s="3439" t="s">
        <v>2579</v>
      </c>
      <c r="M3" s="3439" t="s">
        <v>2580</v>
      </c>
      <c r="N3" s="3440" t="s">
        <v>2581</v>
      </c>
      <c r="O3" s="3440" t="s">
        <v>2582</v>
      </c>
      <c r="P3" s="3440" t="s">
        <v>2583</v>
      </c>
      <c r="Q3" s="3440" t="s">
        <v>2584</v>
      </c>
      <c r="R3" s="3440" t="s">
        <v>2585</v>
      </c>
    </row>
    <row r="4" spans="1:18">
      <c r="A4" s="3020" t="s">
        <v>2495</v>
      </c>
      <c r="B4" s="3023" t="s">
        <v>2496</v>
      </c>
      <c r="C4" s="3023" t="s">
        <v>2497</v>
      </c>
      <c r="D4" s="3023" t="s">
        <v>2498</v>
      </c>
      <c r="E4" s="3023" t="s">
        <v>2499</v>
      </c>
      <c r="F4" s="3019"/>
      <c r="I4" s="3439" t="s">
        <v>2574</v>
      </c>
      <c r="J4" s="3439">
        <v>80</v>
      </c>
      <c r="K4" s="3439">
        <v>70</v>
      </c>
      <c r="L4" s="3439">
        <v>20</v>
      </c>
      <c r="M4" s="3439">
        <v>30</v>
      </c>
      <c r="N4" s="3023">
        <v>45</v>
      </c>
      <c r="O4" s="3023">
        <v>60</v>
      </c>
      <c r="P4" s="3023">
        <v>50</v>
      </c>
      <c r="Q4" s="3023">
        <v>20</v>
      </c>
      <c r="R4" s="3023">
        <v>375</v>
      </c>
    </row>
    <row r="5" spans="1:18">
      <c r="A5" s="3024">
        <v>40</v>
      </c>
      <c r="B5" s="3021">
        <v>46375</v>
      </c>
      <c r="C5" s="3023">
        <f>ROUNDDOWN(MIN((B5-B3)/365,A5),2)</f>
        <v>2.4300000000000002</v>
      </c>
      <c r="D5" s="3025">
        <f>IF(ISERROR(ROUND(POWER(1+E5,A5-C5)*(POWER(1+E5,C5)-1)/(POWER(1+E5,A5)-1),3)),0,ROUND(POWER(1+E5,A5-C5)*(POWER(1+E5,C5)-1)/(POWER(1+E5,A5)-1),4))</f>
        <v>0.1148</v>
      </c>
      <c r="E5" s="3026">
        <v>0.04</v>
      </c>
      <c r="F5" s="3019"/>
      <c r="I5" s="3439" t="s">
        <v>2575</v>
      </c>
      <c r="J5" s="3439">
        <v>70</v>
      </c>
      <c r="K5" s="3439">
        <v>60</v>
      </c>
      <c r="L5" s="3439">
        <v>15</v>
      </c>
      <c r="M5" s="3439">
        <v>25</v>
      </c>
      <c r="N5" s="3023">
        <v>40</v>
      </c>
      <c r="O5" s="3023">
        <v>50</v>
      </c>
      <c r="P5" s="3023">
        <v>40</v>
      </c>
      <c r="Q5" s="3023">
        <v>15</v>
      </c>
      <c r="R5" s="3023">
        <v>315</v>
      </c>
    </row>
    <row r="6" spans="1:18">
      <c r="A6" s="3024">
        <v>50</v>
      </c>
      <c r="B6" s="3021">
        <v>50028</v>
      </c>
      <c r="C6" s="3023">
        <f>ROUNDDOWN(MIN((B6-B3)/365,A6),2)</f>
        <v>12.44</v>
      </c>
      <c r="D6" s="3025">
        <f>IF(ISERROR(ROUND(POWER(1+E6,A6-C6)*(POWER(1+E6,C6)-1)/(POWER(1+E6,A6)-1),3)),0,ROUND(POWER(1+E6,A6-C6)*(POWER(1+E6,C6)-1)/(POWER(1+E6,A6)-1),4))</f>
        <v>0.44929999999999998</v>
      </c>
      <c r="E6" s="3026">
        <v>0.04</v>
      </c>
      <c r="F6" s="3019"/>
      <c r="I6" s="3439" t="s">
        <v>2576</v>
      </c>
      <c r="J6" s="3439">
        <v>60</v>
      </c>
      <c r="K6" s="3439">
        <v>50</v>
      </c>
      <c r="L6" s="3439">
        <v>10</v>
      </c>
      <c r="M6" s="3439">
        <v>20</v>
      </c>
      <c r="N6" s="3023">
        <v>35</v>
      </c>
      <c r="O6" s="3023">
        <v>40</v>
      </c>
      <c r="P6" s="3023">
        <v>30</v>
      </c>
      <c r="Q6" s="3023">
        <v>10</v>
      </c>
      <c r="R6" s="3023">
        <v>255</v>
      </c>
    </row>
    <row r="7" spans="1:18">
      <c r="A7" s="3024">
        <v>70</v>
      </c>
      <c r="B7" s="3021">
        <v>57333</v>
      </c>
      <c r="C7" s="3023">
        <f>ROUNDDOWN(MIN((B7-B3)/365,A7),2)</f>
        <v>32.46</v>
      </c>
      <c r="D7" s="3025">
        <f>IF(ISERROR(ROUND(POWER(1+E7,A7-C7)*(POWER(1+E7,C7)-1)/(POWER(1+E7,A7)-1),3)),0,ROUND(POWER(1+E7,A7-C7)*(POWER(1+E7,C7)-1)/(POWER(1+E7,A7)-1),4))</f>
        <v>0.76949999999999996</v>
      </c>
      <c r="E7" s="3026">
        <v>0.04</v>
      </c>
      <c r="F7" s="3019"/>
    </row>
    <row r="8" spans="1:18">
      <c r="A8" s="3017"/>
      <c r="B8" s="3018"/>
      <c r="C8" s="3018"/>
      <c r="D8" s="3018"/>
      <c r="E8" s="3018"/>
      <c r="F8" s="3019"/>
    </row>
    <row r="9" spans="1:18">
      <c r="A9" s="3020" t="s">
        <v>2500</v>
      </c>
      <c r="B9" s="3023"/>
      <c r="C9" s="3023"/>
      <c r="D9" s="3023"/>
      <c r="E9" s="3023"/>
      <c r="F9" s="3027"/>
    </row>
    <row r="10" spans="1:18">
      <c r="A10" s="3020" t="s">
        <v>2501</v>
      </c>
      <c r="B10" s="3023"/>
      <c r="C10" s="3023"/>
      <c r="D10" s="3023" t="s">
        <v>2499</v>
      </c>
      <c r="E10" s="3023"/>
      <c r="F10" s="3027" t="s">
        <v>2498</v>
      </c>
    </row>
    <row r="11" spans="1:18">
      <c r="A11" s="3020" t="s">
        <v>2502</v>
      </c>
      <c r="B11" s="3028">
        <v>70</v>
      </c>
      <c r="C11" s="3023" t="s">
        <v>2503</v>
      </c>
      <c r="D11" s="3029">
        <v>4.4999999999999998E-2</v>
      </c>
      <c r="E11" s="3023" t="s">
        <v>2504</v>
      </c>
      <c r="F11" s="3030">
        <f>ROUND(1-(1/(POWER(1+D11,B11))),4)</f>
        <v>0.95409999999999995</v>
      </c>
    </row>
    <row r="12" spans="1:18">
      <c r="A12" s="3020" t="s">
        <v>2505</v>
      </c>
      <c r="B12" s="3028">
        <v>40</v>
      </c>
      <c r="C12" s="3023" t="s">
        <v>2506</v>
      </c>
      <c r="D12" s="3029">
        <v>4.4999999999999998E-2</v>
      </c>
      <c r="E12" s="3023" t="s">
        <v>2507</v>
      </c>
      <c r="F12" s="3030">
        <f>ROUND(1-(1/(POWER(1+D12,B12))),4)</f>
        <v>0.82809999999999995</v>
      </c>
    </row>
    <row r="13" spans="1:18">
      <c r="A13" s="3020" t="s">
        <v>2508</v>
      </c>
      <c r="B13" s="3023"/>
      <c r="C13" s="3023"/>
      <c r="D13" s="3018"/>
      <c r="E13" s="3018"/>
      <c r="F13" s="3019"/>
    </row>
    <row r="14" spans="1:18">
      <c r="A14" s="3020" t="s">
        <v>2509</v>
      </c>
      <c r="B14" s="3028">
        <v>5000</v>
      </c>
      <c r="C14" s="3022"/>
      <c r="D14" s="3018"/>
      <c r="E14" s="3018"/>
      <c r="F14" s="3019"/>
    </row>
    <row r="15" spans="1:18">
      <c r="A15" s="3020" t="s">
        <v>2510</v>
      </c>
      <c r="B15" s="3023">
        <f>ROUND(B14*F12/F11,2)</f>
        <v>4339.6899999999996</v>
      </c>
      <c r="C15" s="3023">
        <f>ROUND(F12/F11,4)</f>
        <v>0.8679</v>
      </c>
      <c r="D15" s="3018"/>
      <c r="E15" s="3018"/>
      <c r="F15" s="3019"/>
    </row>
    <row r="16" spans="1:18">
      <c r="A16" s="3020" t="s">
        <v>2511</v>
      </c>
      <c r="B16" s="3023"/>
      <c r="C16" s="3023"/>
      <c r="D16" s="3018"/>
      <c r="E16" s="3018"/>
      <c r="F16" s="3019"/>
    </row>
    <row r="17" spans="1:13">
      <c r="A17" s="3020" t="s">
        <v>2510</v>
      </c>
      <c r="B17" s="3029">
        <v>4810</v>
      </c>
      <c r="C17" s="3022"/>
      <c r="D17" s="3018"/>
      <c r="E17" s="3018"/>
      <c r="F17" s="3019"/>
    </row>
    <row r="18" spans="1:13" ht="14.25" thickBot="1">
      <c r="A18" s="3031" t="s">
        <v>2509</v>
      </c>
      <c r="B18" s="3032">
        <f>ROUND(B17*F11/F12,2)</f>
        <v>5541.87</v>
      </c>
      <c r="C18" s="3032">
        <f>ROUND(F11/F12,4)</f>
        <v>1.1521999999999999</v>
      </c>
      <c r="D18" s="3033"/>
      <c r="E18" s="3033"/>
      <c r="F18" s="3034"/>
    </row>
    <row r="19" spans="1:13" ht="14.25" thickBot="1"/>
    <row r="20" spans="1:13" s="3069" customFormat="1" ht="14.25" thickTop="1">
      <c r="A20" s="3066" t="s">
        <v>2512</v>
      </c>
      <c r="B20" s="3067"/>
      <c r="C20" s="3067"/>
      <c r="D20" s="3067"/>
      <c r="E20" s="3067"/>
      <c r="F20" s="3067"/>
      <c r="G20" s="3068"/>
      <c r="I20" s="3070" t="s">
        <v>2557</v>
      </c>
      <c r="J20" s="3070" t="s">
        <v>2562</v>
      </c>
      <c r="K20" s="3070"/>
      <c r="L20" s="3070"/>
      <c r="M20" s="3070"/>
    </row>
    <row r="21" spans="1:13">
      <c r="A21" s="3035"/>
      <c r="B21" s="3036" t="s">
        <v>2513</v>
      </c>
      <c r="C21" s="3036" t="s">
        <v>2514</v>
      </c>
      <c r="D21" s="3036" t="s">
        <v>2515</v>
      </c>
      <c r="E21" s="3036" t="s">
        <v>2516</v>
      </c>
      <c r="F21" s="3036" t="s">
        <v>2517</v>
      </c>
      <c r="G21" s="3037" t="s">
        <v>2518</v>
      </c>
      <c r="I21" s="3058">
        <v>5</v>
      </c>
      <c r="J21" s="3058">
        <v>54.2</v>
      </c>
    </row>
    <row r="22" spans="1:13">
      <c r="A22" s="3035" t="s">
        <v>2519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2560</v>
      </c>
      <c r="M23" s="3058" t="s">
        <v>2561</v>
      </c>
    </row>
    <row r="24" spans="1:13">
      <c r="A24" s="3035" t="s">
        <v>2521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2559</v>
      </c>
      <c r="M24" s="3058">
        <v>10</v>
      </c>
    </row>
    <row r="25" spans="1:13">
      <c r="A25" s="3035" t="s">
        <v>2522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2563</v>
      </c>
      <c r="M25" s="3058">
        <v>8</v>
      </c>
    </row>
    <row r="26" spans="1:13">
      <c r="A26" s="3040"/>
      <c r="B26" s="3041"/>
      <c r="C26" s="3041"/>
      <c r="D26" s="3041"/>
      <c r="E26" s="3041"/>
      <c r="F26" s="3041"/>
      <c r="G26" s="3042"/>
      <c r="I26" s="3058">
        <v>30</v>
      </c>
      <c r="J26" s="3058">
        <v>90.5</v>
      </c>
      <c r="K26" s="3058">
        <f t="shared" si="2"/>
        <v>4.2000000000000028</v>
      </c>
      <c r="L26" s="3058" t="s">
        <v>2564</v>
      </c>
      <c r="M26" s="3058">
        <v>5</v>
      </c>
    </row>
    <row r="27" spans="1:13">
      <c r="A27" s="3040" t="s">
        <v>2523</v>
      </c>
      <c r="B27" s="3041"/>
      <c r="C27" s="3041"/>
      <c r="D27" s="3041"/>
      <c r="E27" s="3041"/>
      <c r="F27" s="3041"/>
      <c r="G27" s="3042"/>
      <c r="I27" s="3058">
        <v>35</v>
      </c>
      <c r="J27" s="3058">
        <v>93.8</v>
      </c>
      <c r="K27" s="3058">
        <f t="shared" si="2"/>
        <v>3.2999999999999972</v>
      </c>
      <c r="L27" s="3058" t="s">
        <v>2565</v>
      </c>
      <c r="M27" s="3058">
        <v>3</v>
      </c>
    </row>
    <row r="28" spans="1:13">
      <c r="A28" s="3040" t="s">
        <v>2524</v>
      </c>
      <c r="B28" s="3041"/>
      <c r="C28" s="3041"/>
      <c r="D28" s="3041"/>
      <c r="E28" s="3041"/>
      <c r="F28" s="3041"/>
      <c r="G28" s="3042"/>
      <c r="I28" s="3058">
        <v>40</v>
      </c>
      <c r="J28" s="3058">
        <v>96.4</v>
      </c>
      <c r="K28" s="3058">
        <f t="shared" si="2"/>
        <v>2.6000000000000085</v>
      </c>
      <c r="L28" s="3058" t="s">
        <v>2566</v>
      </c>
      <c r="M28" s="3058">
        <v>2</v>
      </c>
    </row>
    <row r="29" spans="1:13">
      <c r="A29" s="3040" t="s">
        <v>2525</v>
      </c>
      <c r="B29" s="3041"/>
      <c r="C29" s="3041"/>
      <c r="D29" s="3041"/>
      <c r="E29" s="3041"/>
      <c r="F29" s="3041"/>
      <c r="G29" s="3042"/>
      <c r="I29" s="3058">
        <v>45</v>
      </c>
      <c r="J29" s="3058">
        <v>98.4</v>
      </c>
      <c r="K29" s="3058">
        <f t="shared" si="2"/>
        <v>2</v>
      </c>
    </row>
    <row r="30" spans="1:13">
      <c r="A30" s="3040" t="s">
        <v>2526</v>
      </c>
      <c r="B30" s="3041"/>
      <c r="C30" s="3041"/>
      <c r="D30" s="3041"/>
      <c r="E30" s="3041"/>
      <c r="F30" s="3041"/>
      <c r="G30" s="3042"/>
      <c r="I30" s="3058">
        <v>50</v>
      </c>
      <c r="J30" s="3058">
        <v>100</v>
      </c>
      <c r="K30" s="3058">
        <f t="shared" si="2"/>
        <v>1.5999999999999943</v>
      </c>
    </row>
    <row r="31" spans="1:13">
      <c r="A31" s="3040" t="s">
        <v>2527</v>
      </c>
      <c r="B31" s="3041"/>
      <c r="C31" s="3041"/>
      <c r="D31" s="3041"/>
      <c r="E31" s="3041"/>
      <c r="F31" s="3041"/>
      <c r="G31" s="3042"/>
      <c r="I31" s="3058" t="s">
        <v>2558</v>
      </c>
    </row>
    <row r="32" spans="1:13">
      <c r="A32" s="3040" t="s">
        <v>2528</v>
      </c>
      <c r="B32" s="3041"/>
      <c r="C32" s="3041"/>
      <c r="D32" s="3041"/>
      <c r="E32" s="3041"/>
      <c r="F32" s="3041"/>
      <c r="G32" s="3042"/>
    </row>
    <row r="33" spans="1:13">
      <c r="A33" s="3040" t="s">
        <v>2529</v>
      </c>
      <c r="B33" s="3041"/>
      <c r="C33" s="3041"/>
      <c r="D33" s="3041"/>
      <c r="E33" s="3041"/>
      <c r="F33" s="3041"/>
      <c r="G33" s="3042"/>
      <c r="I33" s="3058" t="s">
        <v>2557</v>
      </c>
      <c r="J33" s="3058" t="s">
        <v>2567</v>
      </c>
    </row>
    <row r="34" spans="1:13">
      <c r="A34" s="3040" t="s">
        <v>2530</v>
      </c>
      <c r="B34" s="3041"/>
      <c r="C34" s="3041"/>
      <c r="D34" s="3041"/>
      <c r="E34" s="3041"/>
      <c r="F34" s="3041"/>
      <c r="G34" s="3042"/>
      <c r="I34" s="3058">
        <v>5</v>
      </c>
      <c r="J34" s="3058">
        <v>55.1</v>
      </c>
    </row>
    <row r="35" spans="1:13">
      <c r="A35" s="3040" t="s">
        <v>2531</v>
      </c>
      <c r="B35" s="3041"/>
      <c r="C35" s="3041"/>
      <c r="D35" s="3041"/>
      <c r="E35" s="3041"/>
      <c r="F35" s="3041"/>
      <c r="G35" s="3042"/>
      <c r="I35" s="3058">
        <v>10</v>
      </c>
      <c r="J35" s="3058">
        <v>67</v>
      </c>
      <c r="K35" s="3058">
        <f>J35-J34</f>
        <v>11.899999999999999</v>
      </c>
    </row>
    <row r="36" spans="1:13">
      <c r="A36" s="3040" t="s">
        <v>2532</v>
      </c>
      <c r="B36" s="3041"/>
      <c r="C36" s="3041"/>
      <c r="D36" s="3041"/>
      <c r="E36" s="3041"/>
      <c r="F36" s="3041"/>
      <c r="G36" s="3042"/>
      <c r="I36" s="3058">
        <v>15</v>
      </c>
      <c r="J36" s="3058">
        <v>76.3</v>
      </c>
      <c r="K36" s="3058">
        <f t="shared" ref="K36:K41" si="3">J36-J35</f>
        <v>9.2999999999999972</v>
      </c>
      <c r="L36" s="3058" t="s">
        <v>2560</v>
      </c>
      <c r="M36" s="3058" t="s">
        <v>2561</v>
      </c>
    </row>
    <row r="37" spans="1:13">
      <c r="A37" s="3040" t="s">
        <v>2533</v>
      </c>
      <c r="B37" s="3041"/>
      <c r="C37" s="3041"/>
      <c r="D37" s="3041"/>
      <c r="E37" s="3041"/>
      <c r="F37" s="3041"/>
      <c r="G37" s="3042"/>
      <c r="I37" s="3058">
        <v>20</v>
      </c>
      <c r="J37" s="3058">
        <v>83.6</v>
      </c>
      <c r="K37" s="3058">
        <f t="shared" si="3"/>
        <v>7.2999999999999972</v>
      </c>
      <c r="L37" s="3058" t="s">
        <v>2559</v>
      </c>
      <c r="M37" s="3058">
        <v>10</v>
      </c>
    </row>
    <row r="38" spans="1:13">
      <c r="A38" s="3040" t="s">
        <v>2534</v>
      </c>
      <c r="B38" s="3041"/>
      <c r="C38" s="3041"/>
      <c r="D38" s="3041"/>
      <c r="E38" s="3041"/>
      <c r="F38" s="3041"/>
      <c r="G38" s="3042"/>
      <c r="I38" s="3058">
        <v>25</v>
      </c>
      <c r="J38" s="3058">
        <v>89.3</v>
      </c>
      <c r="K38" s="3058">
        <f t="shared" si="3"/>
        <v>5.7000000000000028</v>
      </c>
      <c r="L38" s="3058" t="s">
        <v>2563</v>
      </c>
      <c r="M38" s="3058">
        <v>8</v>
      </c>
    </row>
    <row r="39" spans="1:13">
      <c r="A39" s="3040"/>
      <c r="B39" s="3041"/>
      <c r="C39" s="3041"/>
      <c r="D39" s="3041"/>
      <c r="E39" s="3041"/>
      <c r="F39" s="3041"/>
      <c r="G39" s="3042"/>
      <c r="I39" s="3058">
        <v>30</v>
      </c>
      <c r="J39" s="3058">
        <v>93.8</v>
      </c>
      <c r="K39" s="3058">
        <f t="shared" si="3"/>
        <v>4.5</v>
      </c>
      <c r="L39" s="3058" t="s">
        <v>2564</v>
      </c>
      <c r="M39" s="3058">
        <v>6</v>
      </c>
    </row>
    <row r="40" spans="1:13">
      <c r="A40" s="3043" t="s">
        <v>2535</v>
      </c>
      <c r="B40" s="3044"/>
      <c r="C40" s="3044"/>
      <c r="D40" s="3044"/>
      <c r="E40" s="3044"/>
      <c r="F40" s="3044"/>
      <c r="G40" s="3045"/>
      <c r="I40" s="3058">
        <v>35</v>
      </c>
      <c r="J40" s="3058">
        <v>97.2</v>
      </c>
      <c r="K40" s="3058">
        <f t="shared" si="3"/>
        <v>3.4000000000000057</v>
      </c>
      <c r="L40" s="3058" t="s">
        <v>2565</v>
      </c>
      <c r="M40" s="3058">
        <v>3</v>
      </c>
    </row>
    <row r="41" spans="1:13">
      <c r="A41" s="3046" t="s">
        <v>2536</v>
      </c>
      <c r="B41" s="3047" t="s">
        <v>2537</v>
      </c>
      <c r="C41" s="3048" t="s">
        <v>2538</v>
      </c>
      <c r="D41" s="3048" t="s">
        <v>2539</v>
      </c>
      <c r="E41" s="3049"/>
      <c r="F41" s="3050"/>
      <c r="G41" s="3051"/>
      <c r="I41" s="3058">
        <v>40</v>
      </c>
      <c r="J41" s="3058">
        <v>100</v>
      </c>
      <c r="K41" s="3058">
        <f t="shared" si="3"/>
        <v>2.7999999999999972</v>
      </c>
    </row>
    <row r="42" spans="1:13">
      <c r="A42" s="3046" t="s">
        <v>2540</v>
      </c>
      <c r="B42" s="3047" t="s">
        <v>2541</v>
      </c>
      <c r="C42" s="3048" t="s">
        <v>2542</v>
      </c>
      <c r="D42" s="3052" t="s">
        <v>2543</v>
      </c>
      <c r="E42" s="3044" t="s">
        <v>2544</v>
      </c>
      <c r="F42" s="3044"/>
      <c r="G42" s="3045"/>
    </row>
    <row r="43" spans="1:13">
      <c r="A43" s="3046" t="s">
        <v>2545</v>
      </c>
      <c r="B43" s="3047" t="s">
        <v>2546</v>
      </c>
      <c r="C43" s="3048" t="s">
        <v>2547</v>
      </c>
      <c r="D43" s="3048" t="s">
        <v>2548</v>
      </c>
      <c r="E43" s="3049" t="s">
        <v>2549</v>
      </c>
      <c r="F43" s="3050"/>
      <c r="G43" s="3051"/>
      <c r="I43" s="3058" t="s">
        <v>2557</v>
      </c>
      <c r="J43" s="3058" t="s">
        <v>2568</v>
      </c>
    </row>
    <row r="44" spans="1:13">
      <c r="A44" s="3046" t="s">
        <v>2550</v>
      </c>
      <c r="B44" s="3047" t="s">
        <v>2551</v>
      </c>
      <c r="C44" s="3048" t="s">
        <v>2552</v>
      </c>
      <c r="D44" s="3052">
        <v>0.5</v>
      </c>
      <c r="E44" s="3049" t="s">
        <v>2553</v>
      </c>
      <c r="F44" s="3050"/>
      <c r="G44" s="3051"/>
      <c r="I44" s="3058">
        <v>30</v>
      </c>
      <c r="J44" s="3058">
        <v>81.7</v>
      </c>
    </row>
    <row r="45" spans="1:13" ht="14.25" thickBot="1">
      <c r="A45" s="3053" t="s">
        <v>2554</v>
      </c>
      <c r="B45" s="3054" t="s">
        <v>2541</v>
      </c>
      <c r="C45" s="3055" t="s">
        <v>2541</v>
      </c>
      <c r="D45" s="3055" t="s">
        <v>2555</v>
      </c>
      <c r="E45" s="3056" t="s">
        <v>2556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31" sqref="L31"/>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2166</v>
      </c>
      <c r="B1" s="3535" t="str">
        <f>IF(B10="北京市","北京市",C10)&amp;F10&amp;IF('结果表-商业'!G1="在建","出让国有建设用地使用权及在建建筑物",IF('结果表-商业'!G1="土地","出让国有建设用地使用权",))&amp;B9&amp;"预评估"</f>
        <v>北京市预评估</v>
      </c>
      <c r="C1" s="3536"/>
      <c r="D1" s="3536"/>
      <c r="E1" s="3536"/>
      <c r="F1" s="3536"/>
      <c r="G1" s="3536"/>
      <c r="H1" s="3536"/>
      <c r="I1" s="3537"/>
      <c r="J1" s="2471"/>
      <c r="K1" s="2368"/>
      <c r="L1" s="2369"/>
      <c r="M1" s="2369"/>
      <c r="N1" s="2370"/>
      <c r="O1" s="1576"/>
      <c r="P1" s="2370"/>
      <c r="Q1" s="2370"/>
      <c r="R1" s="2370"/>
      <c r="S1" s="1682" t="str">
        <f>IF(B10="北京市","北京市",C10)&amp;F10&amp;IF('结果表-商业'!G1="在建","出让国有建设用地使用权及在建建筑物房地产抵押价值",IF('结果表-商业'!G1="土地","出让国有建设用地使用权抵押价值",B9))</f>
        <v>北京市</v>
      </c>
      <c r="T1" s="1745"/>
      <c r="U1" s="1745"/>
      <c r="V1" s="1745"/>
      <c r="W1" s="1745"/>
      <c r="X1" s="1745"/>
      <c r="Y1" s="1745"/>
      <c r="Z1" s="1745"/>
      <c r="AA1" s="1745"/>
      <c r="AB1" s="1745"/>
    </row>
    <row r="2" spans="1:30">
      <c r="A2" s="2367" t="s">
        <v>2167</v>
      </c>
      <c r="B2" s="2371"/>
      <c r="C2" s="2372"/>
      <c r="D2" s="2670"/>
      <c r="E2" s="2662"/>
      <c r="F2" s="2662"/>
      <c r="G2" s="2663"/>
      <c r="H2" s="2663"/>
      <c r="I2" s="2663"/>
      <c r="J2" s="2471"/>
      <c r="K2" s="2368"/>
      <c r="L2" s="2369"/>
      <c r="M2" s="2369"/>
      <c r="N2" s="2370"/>
      <c r="O2" s="1576"/>
      <c r="P2" s="2370"/>
      <c r="Q2" s="2370"/>
      <c r="R2" s="2370"/>
      <c r="S2" s="1682" t="str">
        <f>IF(B10="北京市","北京市",C10)&amp;F10&amp;IF('结果表-商业'!G1="在建","出让国有建设用地使用权及在建建筑物房地产",IF('结果表-商业'!G1="土地","出让国有建设用地使用权","房地产"))</f>
        <v>北京市房地产</v>
      </c>
      <c r="T2" s="1745"/>
      <c r="U2" s="1745"/>
      <c r="V2" s="1745"/>
      <c r="W2" s="1745"/>
      <c r="X2" s="1745"/>
      <c r="Y2" s="1745"/>
      <c r="Z2" s="1745"/>
      <c r="AA2" s="1745"/>
      <c r="AB2" s="1745"/>
    </row>
    <row r="3" spans="1:30">
      <c r="A3" s="302" t="s">
        <v>2168</v>
      </c>
      <c r="B3" s="2373">
        <v>45485</v>
      </c>
      <c r="C3" s="2374" t="s">
        <v>2169</v>
      </c>
      <c r="D3" s="2373">
        <f>B3</f>
        <v>45485</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2170</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2171</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2173</v>
      </c>
      <c r="B7" s="2387"/>
      <c r="C7" s="2385"/>
      <c r="D7" s="2386"/>
      <c r="E7" s="2662"/>
      <c r="F7" s="2664"/>
      <c r="G7" s="2664"/>
      <c r="H7" s="2664"/>
      <c r="I7" s="2664"/>
      <c r="J7" s="2439"/>
      <c r="K7" s="2616"/>
      <c r="L7" s="2613"/>
      <c r="M7" s="2613"/>
      <c r="N7" s="2439"/>
      <c r="O7" s="2450"/>
      <c r="P7" s="2439"/>
      <c r="Q7" s="2439"/>
      <c r="R7" s="2439"/>
    </row>
    <row r="8" spans="1:30">
      <c r="A8" s="2388" t="s">
        <v>2174</v>
      </c>
      <c r="B8" s="2389"/>
      <c r="C8" s="2390"/>
      <c r="D8" s="3538" t="s">
        <v>2175</v>
      </c>
      <c r="E8" s="2391"/>
      <c r="F8" s="2392"/>
      <c r="G8" s="2663"/>
      <c r="H8" s="2663"/>
      <c r="I8" s="2663"/>
      <c r="J8" s="2439"/>
      <c r="K8" s="2614"/>
      <c r="L8" s="2613"/>
      <c r="M8" s="2613"/>
      <c r="N8" s="2439"/>
      <c r="O8" s="2450"/>
      <c r="P8" s="2439"/>
      <c r="Q8" s="2439"/>
      <c r="R8" s="2439"/>
    </row>
    <row r="9" spans="1:30" ht="13.5" thickBot="1">
      <c r="A9" s="2393" t="s">
        <v>2176</v>
      </c>
      <c r="B9" s="2394"/>
      <c r="C9" s="2395"/>
      <c r="D9" s="3539"/>
      <c r="E9" s="2394" t="s">
        <v>43</v>
      </c>
      <c r="F9" s="2396"/>
      <c r="G9" s="2665"/>
      <c r="H9" s="2665"/>
      <c r="I9" s="2665"/>
      <c r="J9" s="2439"/>
      <c r="K9" s="2616"/>
      <c r="L9" s="2613"/>
      <c r="M9" s="2613"/>
      <c r="N9" s="2439"/>
      <c r="O9" s="2450"/>
      <c r="P9" s="2439"/>
      <c r="Q9" s="2439"/>
      <c r="R9" s="2439"/>
    </row>
    <row r="10" spans="1:30" ht="13.5" thickTop="1">
      <c r="A10" s="2397" t="s">
        <v>2177</v>
      </c>
      <c r="B10" s="2398" t="s">
        <v>3373</v>
      </c>
      <c r="C10" s="2399"/>
      <c r="D10" s="2382"/>
      <c r="E10" s="2400" t="s">
        <v>2178</v>
      </c>
      <c r="F10" s="2666"/>
      <c r="G10" s="2667"/>
      <c r="H10" s="2668"/>
      <c r="I10" s="2669"/>
      <c r="J10" s="2439"/>
      <c r="K10" s="2616"/>
      <c r="L10" s="2613"/>
      <c r="M10" s="2613"/>
      <c r="N10" s="2439"/>
      <c r="O10" s="2450"/>
      <c r="P10" s="2439"/>
      <c r="Q10" s="2439"/>
      <c r="R10" s="2439"/>
    </row>
    <row r="11" spans="1:30">
      <c r="A11" s="2401" t="s">
        <v>2179</v>
      </c>
      <c r="B11" s="2402" t="s">
        <v>3374</v>
      </c>
      <c r="C11" s="2403"/>
      <c r="D11" s="2404"/>
      <c r="E11" s="2370"/>
      <c r="F11" s="2370"/>
      <c r="G11" s="2370"/>
      <c r="H11" s="2370"/>
      <c r="I11" s="2370"/>
      <c r="J11" s="3061"/>
      <c r="K11" s="3060"/>
      <c r="L11" s="2613"/>
      <c r="M11" s="2613"/>
      <c r="N11" s="2439"/>
      <c r="O11" s="2450"/>
      <c r="P11" s="2439"/>
      <c r="Q11" s="2439"/>
      <c r="R11" s="2439"/>
    </row>
    <row r="12" spans="1:30">
      <c r="A12" s="2405" t="s">
        <v>2180</v>
      </c>
      <c r="B12" s="323" t="s">
        <v>2181</v>
      </c>
      <c r="C12" s="2406" t="s">
        <v>2182</v>
      </c>
      <c r="D12" s="2406" t="s">
        <v>2183</v>
      </c>
      <c r="E12" s="2406" t="s">
        <v>2184</v>
      </c>
      <c r="F12" s="2406" t="s">
        <v>2185</v>
      </c>
      <c r="G12" s="2406" t="s">
        <v>2186</v>
      </c>
      <c r="H12" s="2406" t="s">
        <v>2187</v>
      </c>
      <c r="I12" s="3059" t="s">
        <v>2569</v>
      </c>
      <c r="J12" s="3062"/>
      <c r="K12" s="2613"/>
      <c r="L12" s="2613"/>
      <c r="M12" s="2439"/>
      <c r="N12" s="2450"/>
      <c r="O12" s="2439"/>
      <c r="P12" s="2439"/>
      <c r="Q12" s="2439"/>
      <c r="AD12" s="1745"/>
    </row>
    <row r="13" spans="1:30">
      <c r="A13" s="3423" t="s">
        <v>3325</v>
      </c>
      <c r="B13" s="2407" t="s">
        <v>2188</v>
      </c>
      <c r="C13" s="856"/>
      <c r="D13" s="856">
        <v>52839</v>
      </c>
      <c r="E13" s="856">
        <v>56491</v>
      </c>
      <c r="F13" s="856"/>
      <c r="G13" s="856"/>
      <c r="H13" s="856"/>
      <c r="I13" s="856"/>
      <c r="J13" s="3062"/>
      <c r="K13" s="2613"/>
      <c r="L13" s="2613"/>
      <c r="M13" s="2439"/>
      <c r="N13" s="2450"/>
      <c r="O13" s="2439"/>
      <c r="P13" s="2439"/>
      <c r="Q13" s="2439"/>
      <c r="AD13" s="1745"/>
    </row>
    <row r="14" spans="1:30">
      <c r="A14" s="1081"/>
      <c r="B14" s="2407" t="s">
        <v>2189</v>
      </c>
      <c r="C14" s="2408"/>
      <c r="D14" s="2408">
        <v>40</v>
      </c>
      <c r="E14" s="2408">
        <v>50</v>
      </c>
      <c r="F14" s="2408"/>
      <c r="G14" s="2408"/>
      <c r="H14" s="2408"/>
      <c r="I14" s="2408"/>
      <c r="J14" s="3063"/>
      <c r="K14" s="2613"/>
      <c r="L14" s="2613"/>
      <c r="M14" s="2439"/>
      <c r="N14" s="2450"/>
      <c r="O14" s="2439"/>
      <c r="P14" s="2439"/>
      <c r="Q14" s="2439"/>
      <c r="AD14" s="1745"/>
    </row>
    <row r="15" spans="1:30">
      <c r="A15" s="320"/>
      <c r="B15" s="2409" t="s">
        <v>2190</v>
      </c>
      <c r="C15" s="2410" t="str">
        <f>IF(A13="出让",IF(C13="","",ROUNDDOWN(MIN((C13-$D$3)/365,C14),2)),C14)</f>
        <v/>
      </c>
      <c r="D15" s="2410">
        <f>IF(A13="出让",IF(D13="","",ROUNDDOWN(MIN((D13-$D$3)/365,D14),2)),D14)</f>
        <v>20.14</v>
      </c>
      <c r="E15" s="2410">
        <f>IF(A13="出让",IF(E13="","",ROUNDDOWN(MIN((E13-$D$3)/365,E14),2)),E14)</f>
        <v>30.15</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2191</v>
      </c>
      <c r="B16" s="3545"/>
      <c r="C16" s="3546"/>
      <c r="D16" s="3547"/>
      <c r="E16" s="2413" t="s">
        <v>2192</v>
      </c>
      <c r="F16" s="3548"/>
      <c r="G16" s="3549"/>
      <c r="H16" s="3549"/>
      <c r="I16" s="3550"/>
      <c r="J16" s="2439"/>
      <c r="K16" s="2617"/>
      <c r="L16" s="2451"/>
      <c r="M16" s="2451"/>
      <c r="N16" s="2509"/>
      <c r="O16" s="2451"/>
      <c r="P16" s="2509"/>
      <c r="Q16" s="2439"/>
      <c r="R16" s="2439"/>
    </row>
    <row r="17" spans="1:28">
      <c r="A17" s="313" t="s">
        <v>2193</v>
      </c>
      <c r="B17" s="302" t="s">
        <v>2194</v>
      </c>
      <c r="C17" s="8">
        <f>'数据-汇总表'!E3</f>
        <v>778.02</v>
      </c>
      <c r="D17" s="2322" t="s">
        <v>2195</v>
      </c>
      <c r="E17" s="3551" t="s">
        <v>2196</v>
      </c>
      <c r="F17" s="3552"/>
      <c r="G17" s="3552"/>
      <c r="H17" s="3552"/>
      <c r="I17" s="3553"/>
      <c r="J17" s="2439"/>
      <c r="K17" s="2618"/>
      <c r="L17" s="2451"/>
      <c r="M17" s="2451"/>
      <c r="N17" s="2509"/>
      <c r="O17" s="2451"/>
      <c r="P17" s="2509"/>
      <c r="Q17" s="2439"/>
      <c r="R17" s="2439"/>
      <c r="S17" s="2439"/>
      <c r="T17" s="2439"/>
      <c r="U17" s="2439"/>
      <c r="V17" s="2439"/>
    </row>
    <row r="18" spans="1:28" ht="24.75" thickBot="1">
      <c r="A18" s="2414" t="s">
        <v>2197</v>
      </c>
      <c r="B18" s="1090" t="s">
        <v>2198</v>
      </c>
      <c r="C18" s="2415">
        <f>'数据-汇总表'!D3</f>
        <v>0</v>
      </c>
      <c r="D18" s="1092" t="s">
        <v>2199</v>
      </c>
      <c r="E18" s="3554" t="s">
        <v>2200</v>
      </c>
      <c r="F18" s="3555"/>
      <c r="G18" s="3555"/>
      <c r="H18" s="3555"/>
      <c r="I18" s="3556"/>
      <c r="J18" s="2439"/>
      <c r="K18" s="2618"/>
      <c r="L18" s="2451"/>
      <c r="M18" s="2451"/>
      <c r="N18" s="2509"/>
      <c r="O18" s="2451"/>
      <c r="P18" s="2509"/>
      <c r="Q18" s="2439"/>
      <c r="R18" s="2439"/>
      <c r="S18" s="2439"/>
      <c r="T18" s="2439"/>
      <c r="U18" s="2439"/>
      <c r="V18" s="2439"/>
    </row>
    <row r="19" spans="1:28" ht="37.5" thickTop="1" thickBot="1">
      <c r="A19" s="327" t="s">
        <v>1053</v>
      </c>
      <c r="B19" s="307" t="s">
        <v>2201</v>
      </c>
      <c r="C19" s="1563"/>
      <c r="D19" s="1564" t="s">
        <v>2202</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2203</v>
      </c>
      <c r="B20" s="3541" t="s">
        <v>2204</v>
      </c>
      <c r="C20" s="3542"/>
      <c r="D20" s="3543" t="s">
        <v>2205</v>
      </c>
      <c r="E20" s="3544"/>
      <c r="F20" s="2647" t="s">
        <v>1054</v>
      </c>
      <c r="G20" s="2664"/>
      <c r="H20" s="2664"/>
      <c r="I20" s="2664"/>
      <c r="J20" s="2439"/>
      <c r="K20" s="3540"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2207</v>
      </c>
      <c r="C21" s="2634" t="s">
        <v>1055</v>
      </c>
      <c r="D21" s="1568" t="s">
        <v>2208</v>
      </c>
      <c r="E21" s="2635" t="s">
        <v>1055</v>
      </c>
      <c r="F21" s="2648"/>
      <c r="G21" s="2664"/>
      <c r="H21" s="2664"/>
      <c r="I21" s="2664"/>
      <c r="J21" s="2439"/>
      <c r="K21" s="354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2209</v>
      </c>
      <c r="C22" s="2634" t="s">
        <v>1056</v>
      </c>
      <c r="D22" s="2663"/>
      <c r="E22" s="2663"/>
      <c r="F22" s="2663"/>
      <c r="G22" s="2664"/>
      <c r="H22" s="2664"/>
      <c r="I22" s="2664"/>
      <c r="J22" s="2439"/>
      <c r="K22" s="3540"/>
      <c r="L22" s="684"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2210</v>
      </c>
      <c r="B23" s="2502" t="s">
        <v>2211</v>
      </c>
      <c r="C23" s="2638"/>
      <c r="D23" s="2639" t="s">
        <v>2211</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1057</v>
      </c>
      <c r="C24" s="2641"/>
      <c r="D24" s="2637" t="s">
        <v>1057</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1058</v>
      </c>
      <c r="C25" s="2641"/>
      <c r="D25" s="2637" t="s">
        <v>1058</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1059</v>
      </c>
      <c r="C26" s="2645"/>
      <c r="D26" s="2643" t="s">
        <v>1059</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8" t="s">
        <v>2212</v>
      </c>
      <c r="B27" s="320" t="s">
        <v>2213</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8"/>
      <c r="B28" s="302" t="s">
        <v>2214</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8"/>
      <c r="B29" s="302" t="s">
        <v>2215</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9"/>
      <c r="B30" s="302" t="s">
        <v>2216</v>
      </c>
      <c r="C30" s="3530"/>
      <c r="D30" s="3531"/>
      <c r="E30" s="2664"/>
      <c r="F30" s="2664"/>
      <c r="G30" s="2664"/>
      <c r="H30" s="2664"/>
      <c r="I30" s="2664"/>
      <c r="J30" s="2439"/>
      <c r="K30" s="2616"/>
      <c r="L30" s="2613"/>
      <c r="M30" s="2613"/>
      <c r="N30" s="2439"/>
      <c r="O30" s="2450"/>
      <c r="P30" s="2439"/>
      <c r="Q30" s="2439"/>
      <c r="R30" s="2439"/>
      <c r="S30" s="2439"/>
      <c r="T30" s="2439"/>
      <c r="U30" s="2439"/>
      <c r="V30" s="2439"/>
    </row>
    <row r="31" spans="1:28">
      <c r="A31" s="3532" t="s">
        <v>2217</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3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3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2218</v>
      </c>
      <c r="B34" s="2026"/>
      <c r="C34" s="2026"/>
      <c r="D34" s="2026"/>
      <c r="E34" s="2026"/>
      <c r="F34" s="2026"/>
      <c r="G34" s="2026"/>
      <c r="H34" s="2026"/>
      <c r="I34" s="2664"/>
      <c r="J34" s="2439"/>
      <c r="K34" s="2427">
        <f>COUNTIF(B34:H34,"——")</f>
        <v>0</v>
      </c>
      <c r="L34" s="323" t="s">
        <v>2219</v>
      </c>
      <c r="M34" s="323" t="s">
        <v>2220</v>
      </c>
      <c r="N34" s="323" t="s">
        <v>2221</v>
      </c>
      <c r="O34" s="323" t="s">
        <v>2222</v>
      </c>
      <c r="P34" s="323" t="s">
        <v>2223</v>
      </c>
      <c r="Q34" s="323" t="s">
        <v>2224</v>
      </c>
      <c r="R34" s="323" t="s">
        <v>2225</v>
      </c>
      <c r="S34" s="3527" t="s">
        <v>2226</v>
      </c>
      <c r="T34" s="2428" t="str">
        <f>NUMBERSTRING(7-K34,1)&amp;"通"</f>
        <v>七通</v>
      </c>
      <c r="U34" s="2439"/>
      <c r="V34" s="2439"/>
    </row>
    <row r="35" spans="1:30">
      <c r="A35" s="2429"/>
      <c r="B35" s="3534" t="s">
        <v>2227</v>
      </c>
      <c r="C35" s="3534"/>
      <c r="D35" s="3534"/>
      <c r="E35" s="353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7"/>
      <c r="T35" s="329" t="str">
        <f>IF(T34="一通",L35,IF(T34="二通",M35,IF(T34="三通",N35,IF(T34="四通",O35,IF(T34="五通",P35,IF(T34="六通",Q35,R35))))))</f>
        <v>、、、、、、</v>
      </c>
      <c r="U35" s="2439"/>
      <c r="V35" s="2439"/>
    </row>
    <row r="36" spans="1:30">
      <c r="A36" s="2430"/>
      <c r="B36" s="664" t="s">
        <v>2183</v>
      </c>
      <c r="C36" s="664" t="s">
        <v>2184</v>
      </c>
      <c r="D36" s="664" t="s">
        <v>2182</v>
      </c>
      <c r="E36" s="664" t="s">
        <v>2187</v>
      </c>
      <c r="F36" s="3065" t="s">
        <v>2572</v>
      </c>
      <c r="G36" s="2664"/>
      <c r="H36" s="2664"/>
      <c r="I36" s="2664"/>
      <c r="J36" s="2439"/>
      <c r="K36" s="2616"/>
      <c r="L36" s="2613"/>
      <c r="M36" s="2613"/>
      <c r="N36" s="2439"/>
      <c r="O36" s="2450"/>
      <c r="P36" s="2439"/>
      <c r="Q36" s="2439"/>
      <c r="R36" s="2439"/>
      <c r="S36" s="2439"/>
      <c r="T36" s="2439"/>
      <c r="U36" s="2439"/>
      <c r="V36" s="2439"/>
    </row>
    <row r="37" spans="1:30">
      <c r="A37" s="2630" t="s">
        <v>2228</v>
      </c>
      <c r="B37" s="2431" t="s">
        <v>184</v>
      </c>
      <c r="C37" s="2431" t="s">
        <v>184</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2229</v>
      </c>
      <c r="B38" s="2432" t="s">
        <v>222</v>
      </c>
      <c r="C38" s="2432" t="s">
        <v>244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2230</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2231</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2232</v>
      </c>
      <c r="B42" s="8" t="s">
        <v>2233</v>
      </c>
      <c r="C42" s="8" t="s">
        <v>2234</v>
      </c>
      <c r="D42" s="8" t="s">
        <v>2235</v>
      </c>
      <c r="E42" s="8" t="s">
        <v>2236</v>
      </c>
      <c r="F42" s="8" t="s">
        <v>2237</v>
      </c>
      <c r="G42" s="8" t="s">
        <v>2238</v>
      </c>
      <c r="H42" s="8" t="s">
        <v>2239</v>
      </c>
      <c r="I42" s="8" t="s">
        <v>2240</v>
      </c>
      <c r="J42" s="2626" t="s">
        <v>2241</v>
      </c>
      <c r="K42" s="2627" t="s">
        <v>2242</v>
      </c>
      <c r="L42" s="2627" t="s">
        <v>2243</v>
      </c>
      <c r="M42" s="2627" t="s">
        <v>2244</v>
      </c>
      <c r="N42" s="2620" t="s">
        <v>2245</v>
      </c>
      <c r="O42" s="2620" t="s">
        <v>2246</v>
      </c>
      <c r="P42" s="2620" t="s">
        <v>2247</v>
      </c>
      <c r="Q42" s="2621" t="s">
        <v>2248</v>
      </c>
      <c r="R42" s="2621" t="s">
        <v>2249</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1" sqref="M3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1060</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1061</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1062</v>
      </c>
      <c r="B2" s="8" t="s">
        <v>1063</v>
      </c>
      <c r="C2" s="8" t="s">
        <v>1064</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1065</v>
      </c>
      <c r="AZ2" s="1049" t="s">
        <v>1066</v>
      </c>
      <c r="BA2" s="8" t="s">
        <v>1067</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778.02</v>
      </c>
      <c r="C3" s="1580" t="s">
        <v>1068</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1069</v>
      </c>
      <c r="B5" s="1347"/>
      <c r="C5" s="1347"/>
      <c r="D5" s="1349"/>
      <c r="E5" s="13" t="s">
        <v>0</v>
      </c>
      <c r="F5" s="13">
        <f>SUM(F13:F587)</f>
        <v>0</v>
      </c>
      <c r="G5" s="13">
        <f>SUM(G13:G587)</f>
        <v>778.02</v>
      </c>
      <c r="H5" s="13">
        <f t="shared" ref="H5:AT5" si="0">SUM(H13:H656)</f>
        <v>778.02</v>
      </c>
      <c r="I5" s="13">
        <f t="shared" si="0"/>
        <v>778.02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1069</v>
      </c>
      <c r="AW5" s="1347"/>
      <c r="AX5" s="1347"/>
      <c r="AY5" s="14" t="s">
        <v>2</v>
      </c>
      <c r="AZ5" s="15">
        <f t="shared" ref="AZ5:BT5" si="1">SUM(AZ13:AZ656)</f>
        <v>778.02</v>
      </c>
      <c r="BA5" s="15">
        <f t="shared" si="1"/>
        <v>778.02</v>
      </c>
      <c r="BB5" s="15">
        <f t="shared" si="1"/>
        <v>778.02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1070</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1070</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1071</v>
      </c>
      <c r="B7" s="1569" t="s">
        <v>1072</v>
      </c>
      <c r="C7" s="1569" t="s">
        <v>1073</v>
      </c>
      <c r="D7" s="1569" t="s">
        <v>1074</v>
      </c>
      <c r="E7" s="1569" t="s">
        <v>1075</v>
      </c>
      <c r="F7" s="1569" t="s">
        <v>1076</v>
      </c>
      <c r="G7" s="1590" t="s">
        <v>1077</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1078</v>
      </c>
      <c r="AV7" s="20" t="s">
        <v>1079</v>
      </c>
      <c r="AW7" s="1578" t="s">
        <v>1080</v>
      </c>
      <c r="AX7" s="20" t="s">
        <v>1073</v>
      </c>
      <c r="AY7" s="1347" t="s">
        <v>1081</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1082</v>
      </c>
      <c r="H8" s="1596" t="s">
        <v>1083</v>
      </c>
      <c r="I8" s="1597"/>
      <c r="J8" s="1360"/>
      <c r="K8" s="1360"/>
      <c r="L8" s="1360"/>
      <c r="M8" s="1360"/>
      <c r="N8" s="1360"/>
      <c r="O8" s="1360"/>
      <c r="P8" s="1360"/>
      <c r="Q8" s="1360"/>
      <c r="R8" s="1360"/>
      <c r="S8" s="1360"/>
      <c r="T8" s="1360"/>
      <c r="U8" s="1360"/>
      <c r="V8" s="1598"/>
      <c r="W8" s="1360"/>
      <c r="X8" s="1360"/>
      <c r="Y8" s="1360"/>
      <c r="Z8" s="1360"/>
      <c r="AA8" s="1598"/>
      <c r="AB8" s="1599"/>
      <c r="AC8" s="809" t="s">
        <v>1084</v>
      </c>
      <c r="AD8" s="1600"/>
      <c r="AE8" s="1592"/>
      <c r="AF8" s="1360"/>
      <c r="AG8" s="1360"/>
      <c r="AH8" s="1360"/>
      <c r="AI8" s="1360"/>
      <c r="AJ8" s="1360"/>
      <c r="AK8" s="1360"/>
      <c r="AL8" s="1360"/>
      <c r="AM8" s="1360"/>
      <c r="AN8" s="1360"/>
      <c r="AO8" s="1360"/>
      <c r="AP8" s="1360"/>
      <c r="AQ8" s="1360"/>
      <c r="AR8" s="1360"/>
      <c r="AS8" s="1360"/>
      <c r="AT8" s="1070" t="s">
        <v>1085</v>
      </c>
      <c r="AU8" s="1594" t="s">
        <v>1086</v>
      </c>
      <c r="AV8" s="1070"/>
      <c r="AW8" s="1577"/>
      <c r="AX8" s="1070"/>
      <c r="AY8" s="1578" t="s">
        <v>1087</v>
      </c>
      <c r="AZ8" s="1359" t="s">
        <v>1088</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1089</v>
      </c>
      <c r="I9" s="1603" t="s">
        <v>3377</v>
      </c>
      <c r="J9" s="809"/>
      <c r="K9" s="1603"/>
      <c r="L9" s="809"/>
      <c r="M9" s="1603"/>
      <c r="N9" s="809"/>
      <c r="O9" s="1603"/>
      <c r="P9" s="809"/>
      <c r="Q9" s="1603"/>
      <c r="R9" s="809"/>
      <c r="S9" s="1603"/>
      <c r="T9" s="809"/>
      <c r="U9" s="1603"/>
      <c r="V9" s="809"/>
      <c r="W9" s="1603"/>
      <c r="X9" s="1604"/>
      <c r="Y9" s="1603"/>
      <c r="Z9" s="809"/>
      <c r="AA9" s="1603"/>
      <c r="AB9" s="809"/>
      <c r="AC9" s="1595" t="s">
        <v>1089</v>
      </c>
      <c r="AD9" s="12" t="s">
        <v>1090</v>
      </c>
      <c r="AE9" s="1076"/>
      <c r="AF9" s="12" t="s">
        <v>1091</v>
      </c>
      <c r="AG9" s="1076"/>
      <c r="AH9" s="12" t="s">
        <v>1090</v>
      </c>
      <c r="AI9" s="1076"/>
      <c r="AJ9" s="12" t="s">
        <v>1091</v>
      </c>
      <c r="AK9" s="1076"/>
      <c r="AL9" s="12" t="s">
        <v>1090</v>
      </c>
      <c r="AM9" s="1076"/>
      <c r="AN9" s="12" t="s">
        <v>1091</v>
      </c>
      <c r="AO9" s="1076"/>
      <c r="AP9" s="12" t="s">
        <v>1090</v>
      </c>
      <c r="AQ9" s="1076"/>
      <c r="AR9" s="12" t="s">
        <v>1091</v>
      </c>
      <c r="AS9" s="1605"/>
      <c r="AT9" s="1594"/>
      <c r="AU9" s="1594" t="s">
        <v>1092</v>
      </c>
      <c r="AV9" s="1070"/>
      <c r="AW9" s="1577"/>
      <c r="AX9" s="1070"/>
      <c r="AY9" s="25"/>
      <c r="AZ9" s="25" t="s">
        <v>1082</v>
      </c>
      <c r="BA9" s="1606" t="s">
        <v>1093</v>
      </c>
      <c r="BB9" s="1607"/>
      <c r="BC9" s="1088"/>
      <c r="BD9" s="1088"/>
      <c r="BE9" s="1088"/>
      <c r="BF9" s="1088"/>
      <c r="BG9" s="1088"/>
      <c r="BH9" s="1088"/>
      <c r="BI9" s="1088"/>
      <c r="BJ9" s="1088"/>
      <c r="BK9" s="1608"/>
      <c r="BL9" s="12" t="s">
        <v>1094</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1095</v>
      </c>
      <c r="AE10" s="1610"/>
      <c r="AF10" s="12" t="s">
        <v>1095</v>
      </c>
      <c r="AG10" s="1610"/>
      <c r="AH10" s="12" t="s">
        <v>1096</v>
      </c>
      <c r="AI10" s="1610"/>
      <c r="AJ10" s="12" t="s">
        <v>1096</v>
      </c>
      <c r="AK10" s="1610"/>
      <c r="AL10" s="12" t="s">
        <v>1097</v>
      </c>
      <c r="AM10" s="1076"/>
      <c r="AN10" s="12" t="s">
        <v>1097</v>
      </c>
      <c r="AO10" s="1076"/>
      <c r="AP10" s="12" t="s">
        <v>1098</v>
      </c>
      <c r="AQ10" s="1076"/>
      <c r="AR10" s="12" t="s">
        <v>1098</v>
      </c>
      <c r="AS10" s="1076"/>
      <c r="AT10" s="1594"/>
      <c r="AU10" s="1594"/>
      <c r="AV10" s="1070"/>
      <c r="AW10" s="1577"/>
      <c r="AX10" s="1070"/>
      <c r="AY10" s="25"/>
      <c r="AZ10" s="25"/>
      <c r="BA10" s="1611" t="s">
        <v>1089</v>
      </c>
      <c r="BB10" s="1612" t="str">
        <f>I9</f>
        <v>地上</v>
      </c>
      <c r="BC10" s="26">
        <f>K9</f>
        <v>0</v>
      </c>
      <c r="BD10" s="26">
        <f>M9</f>
        <v>0</v>
      </c>
      <c r="BE10" s="26">
        <f>O9</f>
        <v>0</v>
      </c>
      <c r="BF10" s="26">
        <f>Q9</f>
        <v>0</v>
      </c>
      <c r="BG10" s="26">
        <f>S9</f>
        <v>0</v>
      </c>
      <c r="BH10" s="26">
        <f>U9</f>
        <v>0</v>
      </c>
      <c r="BI10" s="26">
        <f>W9</f>
        <v>0</v>
      </c>
      <c r="BJ10" s="26">
        <f>Y9</f>
        <v>0</v>
      </c>
      <c r="BK10" s="26">
        <f>AA9</f>
        <v>0</v>
      </c>
      <c r="BL10" s="22" t="s">
        <v>1089</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1099</v>
      </c>
      <c r="AE11" s="1361"/>
      <c r="AF11" s="1616" t="s">
        <v>1099</v>
      </c>
      <c r="AG11" s="1361"/>
      <c r="AH11" s="1616" t="s">
        <v>1100</v>
      </c>
      <c r="AI11" s="1617"/>
      <c r="AJ11" s="1616" t="s">
        <v>1100</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6" t="s">
        <v>1102</v>
      </c>
      <c r="W12" s="8" t="s">
        <v>1101</v>
      </c>
      <c r="X12" s="8" t="s">
        <v>1102</v>
      </c>
      <c r="Y12" s="8" t="s">
        <v>1101</v>
      </c>
      <c r="Z12" s="8" t="s">
        <v>1102</v>
      </c>
      <c r="AA12" s="8" t="s">
        <v>1101</v>
      </c>
      <c r="AB12" s="8" t="s">
        <v>1102</v>
      </c>
      <c r="AC12" s="1621"/>
      <c r="AD12" s="1349"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9" t="s">
        <v>1102</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38.25">
      <c r="A13" s="1051"/>
      <c r="B13" s="1051"/>
      <c r="C13" s="1051" t="s">
        <v>3375</v>
      </c>
      <c r="D13" s="1625" t="s">
        <v>3376</v>
      </c>
      <c r="E13" s="13">
        <f>IF($C$3="是",ROUND($A$3*G13/$B$3,2),ROUND($A$3*(G13-AT13)/$B$3,2))</f>
        <v>0</v>
      </c>
      <c r="F13" s="29"/>
      <c r="G13" s="30">
        <f>H13+AC13+AT13</f>
        <v>105.14</v>
      </c>
      <c r="H13" s="17">
        <f>SUMIF(I$12:AB$12,"总值",I13:AB13)</f>
        <v>105.14</v>
      </c>
      <c r="I13" s="1626">
        <v>105.14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朝阳公园南路10号院2号楼1层2-4</v>
      </c>
      <c r="AY13" s="1349">
        <f>ROUND($AY$6*AZ13/$AZ$5,2)</f>
        <v>0</v>
      </c>
      <c r="AZ13" s="13">
        <f>BA13+BL13</f>
        <v>105.14</v>
      </c>
      <c r="BA13" s="13">
        <f>SUM(BB13:BK13)</f>
        <v>105.14</v>
      </c>
      <c r="BB13" s="13">
        <f>IF($D13="是",I13-J13,0)</f>
        <v>105.14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38.25">
      <c r="A14" s="1051"/>
      <c r="B14" s="1051"/>
      <c r="C14" s="1570" t="s">
        <v>3401</v>
      </c>
      <c r="D14" s="1625" t="s">
        <v>3376</v>
      </c>
      <c r="E14" s="13">
        <f>IF($C$3="是",ROUND($A$3*G14/$B$3,2),ROUND($A$3*(G14-AT14)/$B$3,2))</f>
        <v>0</v>
      </c>
      <c r="F14" s="29"/>
      <c r="G14" s="30">
        <f>H14+AC14+AT14</f>
        <v>672.88</v>
      </c>
      <c r="H14" s="17">
        <f>SUMIF(I$12:AB$12,"总值",I14:AB14)</f>
        <v>672.88</v>
      </c>
      <c r="I14" s="1626">
        <v>672.88</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朝阳公园南路10号院2号楼2层202</v>
      </c>
      <c r="AY14" s="1349">
        <f>ROUND($AY$6*AZ14/$AZ$5,2)</f>
        <v>0</v>
      </c>
      <c r="AZ14" s="13">
        <f>BA14+BL14</f>
        <v>672.88</v>
      </c>
      <c r="BA14" s="13">
        <f>SUM(BB14:BK14)</f>
        <v>672.88</v>
      </c>
      <c r="BB14" s="13">
        <f>IF($D14="是",I14-J14,0)</f>
        <v>672.88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K42" sqref="K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1128</v>
      </c>
      <c r="B1" s="1139"/>
      <c r="C1" s="1139"/>
      <c r="D1" s="1139"/>
      <c r="E1" s="1139"/>
      <c r="F1" s="1139"/>
      <c r="G1" s="1139"/>
      <c r="H1" s="1139"/>
      <c r="I1" s="1139"/>
      <c r="J1" s="1139"/>
      <c r="K1" s="1139"/>
      <c r="L1" s="1139"/>
      <c r="M1" s="1139"/>
      <c r="N1" s="1139"/>
      <c r="O1" s="1139"/>
      <c r="P1" s="1139"/>
    </row>
    <row r="2" spans="1:16" ht="15">
      <c r="A2" s="3566" t="s">
        <v>1129</v>
      </c>
      <c r="B2" s="3566"/>
      <c r="C2" s="3566"/>
      <c r="D2" s="796" t="s">
        <v>1105</v>
      </c>
      <c r="E2" s="1639" t="s">
        <v>1106</v>
      </c>
      <c r="F2" s="2659"/>
      <c r="G2" s="2650"/>
      <c r="H2" s="2651"/>
      <c r="I2" s="2325" t="s">
        <v>1130</v>
      </c>
      <c r="J2" s="2659"/>
      <c r="K2" s="2659"/>
      <c r="L2" s="2659"/>
      <c r="M2" s="2659"/>
      <c r="N2" s="2661"/>
      <c r="O2" s="2659"/>
      <c r="P2" s="2659"/>
    </row>
    <row r="3" spans="1:16" ht="15.75" thickBot="1">
      <c r="A3" s="3567" t="s">
        <v>1103</v>
      </c>
      <c r="B3" s="3567"/>
      <c r="C3" s="3567"/>
      <c r="D3" s="43">
        <f>'数据-基础表'!AY6</f>
        <v>0</v>
      </c>
      <c r="E3" s="43">
        <f>'数据-基础表'!AZ5</f>
        <v>778.02</v>
      </c>
      <c r="F3" s="2659"/>
      <c r="G3" s="1145"/>
      <c r="H3" s="1026" t="s">
        <v>1104</v>
      </c>
      <c r="I3" s="855" t="e">
        <f>ROUND('数据-基础表'!B3/'数据-基础表'!A3,2)</f>
        <v>#DIV/0!</v>
      </c>
      <c r="J3" s="2659"/>
      <c r="K3" s="2659"/>
      <c r="L3" s="2659"/>
      <c r="M3" s="2659"/>
      <c r="N3" s="2661"/>
      <c r="O3" s="2659"/>
      <c r="P3" s="2659"/>
    </row>
    <row r="4" spans="1:16" ht="15">
      <c r="A4" s="3568"/>
      <c r="B4" s="3569"/>
      <c r="C4" s="3570"/>
      <c r="D4" s="1641" t="s">
        <v>1105</v>
      </c>
      <c r="E4" s="1642" t="s">
        <v>1106</v>
      </c>
      <c r="F4" s="2659"/>
      <c r="G4" s="2652" t="s">
        <v>1131</v>
      </c>
      <c r="H4" s="1026" t="s">
        <v>1111</v>
      </c>
      <c r="I4" s="855" t="e">
        <f>ROUND(SUMIF('数据-基础表'!I9:AS9,"地上",'数据-基础表'!I5:AS5)/'数据-基础表'!A3,2)</f>
        <v>#DIV/0!</v>
      </c>
      <c r="J4" s="2659"/>
      <c r="K4" s="2659"/>
      <c r="L4" s="2659"/>
      <c r="M4" s="2659"/>
      <c r="N4" s="2661"/>
      <c r="O4" s="2659"/>
      <c r="P4" s="2659"/>
    </row>
    <row r="5" spans="1:16">
      <c r="A5" s="44" t="s">
        <v>1107</v>
      </c>
      <c r="B5" s="3571" t="s">
        <v>1108</v>
      </c>
      <c r="C5" s="3571"/>
      <c r="D5" s="45">
        <f>ROUND($D$3*E5/$E$3,2)</f>
        <v>0</v>
      </c>
      <c r="E5" s="46">
        <f>SUMIF('数据-基础表'!$11:$11,"住宅",'数据-基础表'!$5:$5)</f>
        <v>0</v>
      </c>
      <c r="F5" s="2659"/>
      <c r="G5" s="1145"/>
      <c r="H5" s="1026" t="s">
        <v>1104</v>
      </c>
      <c r="I5" s="855" t="e">
        <f>ROUND(E31/D31,2)</f>
        <v>#DIV/0!</v>
      </c>
      <c r="J5" s="2659"/>
      <c r="K5" s="2659"/>
      <c r="L5" s="2659"/>
      <c r="M5" s="2659"/>
      <c r="N5" s="2659"/>
      <c r="O5" s="2659"/>
      <c r="P5" s="2659"/>
    </row>
    <row r="6" spans="1:16" ht="15" thickBot="1">
      <c r="A6" s="1644"/>
      <c r="B6" s="3571" t="s">
        <v>1109</v>
      </c>
      <c r="C6" s="3571"/>
      <c r="D6" s="45">
        <f>ROUND($D$3*E6/$E$3,2)</f>
        <v>0</v>
      </c>
      <c r="E6" s="46">
        <f>E3-E5</f>
        <v>778.02</v>
      </c>
      <c r="F6" s="2659"/>
      <c r="G6" s="2653" t="s">
        <v>1110</v>
      </c>
      <c r="H6" s="1146" t="s">
        <v>1111</v>
      </c>
      <c r="I6" s="2654" t="e">
        <f>ROUND(F31/D31,2)</f>
        <v>#DIV/0!</v>
      </c>
      <c r="J6" s="2659"/>
      <c r="K6" s="2659"/>
      <c r="L6" s="2659"/>
      <c r="M6" s="2659"/>
      <c r="N6" s="2659"/>
      <c r="O6" s="2659"/>
      <c r="P6" s="2659"/>
    </row>
    <row r="7" spans="1:16" ht="15.75" thickBot="1">
      <c r="A7" s="3563"/>
      <c r="B7" s="3564"/>
      <c r="C7" s="3565"/>
      <c r="D7" s="1641" t="s">
        <v>1105</v>
      </c>
      <c r="E7" s="1645" t="s">
        <v>1112</v>
      </c>
      <c r="F7" s="2659"/>
      <c r="G7" s="2655" t="s">
        <v>1113</v>
      </c>
      <c r="H7" s="2656"/>
      <c r="I7" s="2657">
        <v>4.7</v>
      </c>
      <c r="J7" s="2659"/>
      <c r="K7" s="2659"/>
      <c r="L7" s="2659"/>
      <c r="M7" s="2659"/>
      <c r="N7" s="2659"/>
      <c r="O7" s="2659"/>
      <c r="P7" s="2659"/>
    </row>
    <row r="8" spans="1:16">
      <c r="A8" s="44" t="s">
        <v>1114</v>
      </c>
      <c r="B8" s="47" t="s">
        <v>1115</v>
      </c>
      <c r="C8" s="45" t="s">
        <v>1116</v>
      </c>
      <c r="D8" s="45">
        <f t="shared" ref="D8:D15" si="0">ROUND($D$3*E8/$E$3,2)</f>
        <v>0</v>
      </c>
      <c r="E8" s="48">
        <f>SUMIF('数据-基础表'!BB10:BK10,"地上",'数据-基础表'!BB5:BK5)</f>
        <v>778.02</v>
      </c>
      <c r="F8" s="2659"/>
      <c r="G8" s="2660"/>
      <c r="H8" s="2660"/>
      <c r="I8" s="2659"/>
      <c r="J8" s="2659"/>
      <c r="K8" s="2659"/>
      <c r="L8" s="2659"/>
      <c r="M8" s="2659"/>
      <c r="N8" s="2659"/>
      <c r="O8" s="2659"/>
      <c r="P8" s="2659"/>
    </row>
    <row r="9" spans="1:16">
      <c r="A9" s="1646"/>
      <c r="B9" s="1647"/>
      <c r="C9" s="45" t="s">
        <v>1117</v>
      </c>
      <c r="D9" s="45">
        <f t="shared" si="0"/>
        <v>0</v>
      </c>
      <c r="E9" s="49">
        <v>0</v>
      </c>
      <c r="F9" s="2659"/>
      <c r="G9" s="2660"/>
      <c r="H9" s="2660"/>
      <c r="I9" s="2659"/>
      <c r="J9" s="2659"/>
      <c r="K9" s="2659"/>
      <c r="L9" s="2659"/>
      <c r="M9" s="2659"/>
      <c r="N9" s="2659"/>
      <c r="O9" s="2659"/>
      <c r="P9" s="2659"/>
    </row>
    <row r="10" spans="1:16">
      <c r="A10" s="1646"/>
      <c r="B10" s="1647"/>
      <c r="C10" s="45" t="s">
        <v>1126</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1118</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1119</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1120</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1132</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1127</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1121</v>
      </c>
      <c r="D16" s="47">
        <f>SUM(D8:D15)</f>
        <v>0</v>
      </c>
      <c r="E16" s="50">
        <f>SUM(E8:E15)</f>
        <v>778.02</v>
      </c>
      <c r="F16" s="2659"/>
      <c r="G16" s="2660"/>
      <c r="H16" s="1648" t="s">
        <v>1133</v>
      </c>
      <c r="I16" s="1649"/>
      <c r="J16" s="1139"/>
      <c r="K16" s="3560" t="s">
        <v>1133</v>
      </c>
      <c r="L16" s="3561"/>
      <c r="M16" s="3561"/>
      <c r="N16" s="3561"/>
      <c r="O16" s="3561"/>
      <c r="P16" s="3562"/>
    </row>
    <row r="17" spans="1:19" ht="15">
      <c r="A17" s="1650" t="s">
        <v>1134</v>
      </c>
      <c r="B17" s="1651" t="s">
        <v>1135</v>
      </c>
      <c r="C17" s="1652" t="s">
        <v>1136</v>
      </c>
      <c r="D17" s="1653" t="s">
        <v>1124</v>
      </c>
      <c r="E17" s="1654" t="s">
        <v>1125</v>
      </c>
      <c r="F17" s="1655"/>
      <c r="G17" s="1656"/>
      <c r="H17" s="1657" t="s">
        <v>1137</v>
      </c>
      <c r="I17" s="1658" t="s">
        <v>1122</v>
      </c>
      <c r="J17" s="1139"/>
      <c r="K17" s="3557" t="s">
        <v>1138</v>
      </c>
      <c r="L17" s="3558"/>
      <c r="M17" s="3559"/>
      <c r="N17" s="3557" t="s">
        <v>1139</v>
      </c>
      <c r="O17" s="3558"/>
      <c r="P17" s="3559"/>
      <c r="R17" s="1640" t="s">
        <v>1140</v>
      </c>
      <c r="S17" s="56"/>
    </row>
    <row r="18" spans="1:19" ht="15">
      <c r="A18" s="1646"/>
      <c r="B18" s="1659"/>
      <c r="C18" s="1660"/>
      <c r="D18" s="1661"/>
      <c r="E18" s="1662" t="s">
        <v>1141</v>
      </c>
      <c r="F18" s="1663" t="s">
        <v>1142</v>
      </c>
      <c r="G18" s="1664" t="s">
        <v>1143</v>
      </c>
      <c r="H18" s="1041" t="s">
        <v>1144</v>
      </c>
      <c r="I18" s="1665" t="s">
        <v>1145</v>
      </c>
      <c r="J18" s="1139"/>
      <c r="K18" s="1041" t="s">
        <v>1146</v>
      </c>
      <c r="L18" s="1666" t="s">
        <v>1147</v>
      </c>
      <c r="M18" s="855" t="s">
        <v>1148</v>
      </c>
      <c r="N18" s="1041" t="s">
        <v>1146</v>
      </c>
      <c r="O18" s="1666" t="s">
        <v>1147</v>
      </c>
      <c r="P18" s="855" t="s">
        <v>1148</v>
      </c>
      <c r="R18" s="1026" t="s">
        <v>1149</v>
      </c>
      <c r="S18" s="1026" t="s">
        <v>1150</v>
      </c>
    </row>
    <row r="19" spans="1:19">
      <c r="A19" s="1667"/>
      <c r="B19" s="47" t="s">
        <v>1123</v>
      </c>
      <c r="C19" s="3417" t="s">
        <v>3379</v>
      </c>
      <c r="D19" s="45">
        <f>ROUND($D$3*E19/$E$3,2)</f>
        <v>0</v>
      </c>
      <c r="E19" s="53">
        <f t="shared" ref="E19:E26" si="1">SUM(F19:G19)</f>
        <v>105.14</v>
      </c>
      <c r="F19" s="2795">
        <f>'数据-基础表'!I13</f>
        <v>105.14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105.14</v>
      </c>
    </row>
    <row r="20" spans="1:19">
      <c r="A20" s="1670"/>
      <c r="B20" s="47" t="s">
        <v>1151</v>
      </c>
      <c r="C20" s="3417" t="s">
        <v>3381</v>
      </c>
      <c r="D20" s="45">
        <f t="shared" ref="D20:D26" si="6">ROUND($D$3*E20/$E$3,2)</f>
        <v>0</v>
      </c>
      <c r="E20" s="53">
        <f t="shared" si="1"/>
        <v>672.88</v>
      </c>
      <c r="F20" s="2795">
        <f>'数据-基础表'!I14</f>
        <v>672.88</v>
      </c>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672.88</v>
      </c>
    </row>
    <row r="21" spans="1:19">
      <c r="A21" s="1670"/>
      <c r="B21" s="47" t="s">
        <v>1151</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1151</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1151</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1151</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1151</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1151</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1152</v>
      </c>
      <c r="D27" s="1140">
        <f>SUM(D19:D26)</f>
        <v>0</v>
      </c>
      <c r="E27" s="1141">
        <f>IF(SUM(E19:E26)='数据-基础表'!BA5,SUM(E19:E26),IF(F27="地上面积有误","面积有误","地下面积有误"))</f>
        <v>778.02</v>
      </c>
      <c r="F27" s="1140">
        <f>IF(SUM(F19:F26)=E8,SUM(F19:F26),"地上面积有误")</f>
        <v>778.02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778.02</v>
      </c>
    </row>
    <row r="28" spans="1:19">
      <c r="A28" s="1670"/>
      <c r="B28" s="47" t="s">
        <v>1153</v>
      </c>
      <c r="C28" s="1038" t="s">
        <v>1154</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1153</v>
      </c>
      <c r="C29" s="1674" t="s">
        <v>1155</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1152</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1156</v>
      </c>
      <c r="D31" s="676">
        <f>D27+D30</f>
        <v>0</v>
      </c>
      <c r="E31" s="676">
        <f>E27+E30</f>
        <v>778.02</v>
      </c>
      <c r="F31" s="677">
        <f>F27+F30</f>
        <v>778.02</v>
      </c>
      <c r="G31" s="678">
        <f>G27+G30</f>
        <v>0</v>
      </c>
      <c r="H31" s="2659"/>
      <c r="I31" s="2659"/>
      <c r="J31" s="2659"/>
      <c r="K31" s="2659"/>
      <c r="L31" s="2659"/>
      <c r="M31" s="2659"/>
      <c r="N31" s="2659"/>
      <c r="O31" s="2659"/>
      <c r="P31" s="2659"/>
    </row>
    <row r="32" spans="1:19">
      <c r="A32" s="1643"/>
      <c r="B32" s="1643" t="s">
        <v>1157</v>
      </c>
      <c r="C32" s="1643"/>
      <c r="D32" s="1643"/>
      <c r="E32" s="1053">
        <f>SUMIF(C19:C26,"*住宅*",E19:E26)</f>
        <v>0</v>
      </c>
      <c r="F32" s="1643"/>
      <c r="G32" s="1643"/>
      <c r="H32" s="2659"/>
      <c r="I32" s="2659"/>
      <c r="J32" s="2659"/>
      <c r="K32" s="2659"/>
      <c r="L32" s="2659"/>
      <c r="M32" s="2659"/>
      <c r="N32" s="2659"/>
      <c r="O32" s="2659"/>
      <c r="P32" s="2659"/>
    </row>
    <row r="33" spans="4:7">
      <c r="D33" s="1678"/>
    </row>
    <row r="37" spans="4:7">
      <c r="G37" s="1638">
        <f>150000*F19/10000</f>
        <v>1577.1</v>
      </c>
    </row>
    <row r="38" spans="4:7">
      <c r="G38" s="1638">
        <f>F20*85000/10000</f>
        <v>5719.48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0" priority="1" stopIfTrue="1" operator="containsText" text="面积有误">
      <formula>NOT(ISERROR(SEARCH("面积有误",E27)))</formula>
    </cfRule>
    <cfRule type="cellIs" dxfId="199" priority="3" stopIfTrue="1" operator="equal">
      <formula>"地下面积有误"</formula>
    </cfRule>
  </conditionalFormatting>
  <conditionalFormatting sqref="F27">
    <cfRule type="cellIs" dxfId="19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R6" activePane="bottomRight" state="frozen"/>
      <selection activeCell="C50" sqref="C50"/>
      <selection pane="topRight" activeCell="C50" sqref="C50"/>
      <selection pane="bottomLeft" activeCell="C50" sqref="C50"/>
      <selection pane="bottomRight" activeCell="AC40" sqref="AC4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1158</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1159</v>
      </c>
      <c r="B2" s="1045">
        <f>项目基本情况!D3</f>
        <v>45485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1160</v>
      </c>
      <c r="B4" s="1688"/>
      <c r="C4" s="1689"/>
      <c r="D4" s="1690"/>
      <c r="E4" s="1689" t="s">
        <v>1161</v>
      </c>
      <c r="F4" s="1689"/>
      <c r="G4" s="1689"/>
      <c r="H4" s="1689"/>
      <c r="I4" s="1689"/>
      <c r="J4" s="1691"/>
      <c r="K4" s="1692"/>
      <c r="L4" s="1693"/>
      <c r="M4" s="1689"/>
      <c r="N4" s="1689" t="s">
        <v>1162</v>
      </c>
      <c r="O4" s="1689"/>
      <c r="P4" s="1689"/>
      <c r="Q4" s="1689"/>
      <c r="R4" s="1689"/>
      <c r="S4" s="1691"/>
      <c r="T4" s="2658" t="str">
        <f>'数据-汇总表'!I17</f>
        <v>按面积比例</v>
      </c>
      <c r="U4" s="1688" t="s">
        <v>1163</v>
      </c>
      <c r="V4" s="1689"/>
      <c r="W4" s="1689"/>
      <c r="X4" s="1689"/>
      <c r="Y4" s="1691"/>
      <c r="Z4" s="1652" t="s">
        <v>1164</v>
      </c>
      <c r="AA4" s="1652"/>
      <c r="AB4" s="1652"/>
      <c r="AC4" s="1652"/>
      <c r="AD4" s="1652"/>
      <c r="AE4" s="1650" t="s">
        <v>1165</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1166</v>
      </c>
      <c r="B5" s="1696" t="s">
        <v>1167</v>
      </c>
      <c r="C5" s="1697" t="s">
        <v>1168</v>
      </c>
      <c r="D5" s="1698" t="s">
        <v>1169</v>
      </c>
      <c r="E5" s="1047" t="s">
        <v>1170</v>
      </c>
      <c r="F5" s="1699" t="s">
        <v>1171</v>
      </c>
      <c r="G5" s="1047" t="s">
        <v>1172</v>
      </c>
      <c r="H5" s="1047" t="s">
        <v>1173</v>
      </c>
      <c r="I5" s="1047" t="s">
        <v>1174</v>
      </c>
      <c r="J5" s="1700" t="s">
        <v>1175</v>
      </c>
      <c r="K5" s="1701" t="s">
        <v>1176</v>
      </c>
      <c r="L5" s="1702" t="s">
        <v>1177</v>
      </c>
      <c r="M5" s="1703" t="s">
        <v>1178</v>
      </c>
      <c r="N5" s="1704" t="s">
        <v>3382</v>
      </c>
      <c r="O5" s="1702" t="s">
        <v>1179</v>
      </c>
      <c r="P5" s="1705" t="s">
        <v>1180</v>
      </c>
      <c r="Q5" s="61" t="s">
        <v>1181</v>
      </c>
      <c r="R5" s="1706" t="s">
        <v>1182</v>
      </c>
      <c r="S5" s="1707" t="s">
        <v>1183</v>
      </c>
      <c r="T5" s="1708" t="s">
        <v>1184</v>
      </c>
      <c r="U5" s="1046" t="s">
        <v>1185</v>
      </c>
      <c r="V5" s="1047" t="s">
        <v>1186</v>
      </c>
      <c r="W5" s="1047" t="s">
        <v>1187</v>
      </c>
      <c r="X5" s="63"/>
      <c r="Y5" s="62" t="s">
        <v>1188</v>
      </c>
      <c r="Z5" s="1709" t="s">
        <v>1185</v>
      </c>
      <c r="AA5" s="1047" t="s">
        <v>1186</v>
      </c>
      <c r="AB5" s="1047" t="s">
        <v>1187</v>
      </c>
      <c r="AC5" s="63"/>
      <c r="AD5" s="63" t="s">
        <v>1188</v>
      </c>
      <c r="AE5" s="1046" t="s">
        <v>1189</v>
      </c>
      <c r="AF5" s="1047" t="s">
        <v>1190</v>
      </c>
      <c r="AG5" s="62" t="s">
        <v>1191</v>
      </c>
      <c r="AH5" s="1046" t="s">
        <v>1192</v>
      </c>
      <c r="AI5" s="1709" t="s">
        <v>1193</v>
      </c>
      <c r="AJ5" s="1709" t="s">
        <v>1194</v>
      </c>
      <c r="AK5" s="1047" t="s">
        <v>1195</v>
      </c>
      <c r="AL5" s="1047" t="s">
        <v>1196</v>
      </c>
      <c r="AM5" s="62" t="s">
        <v>1197</v>
      </c>
      <c r="AN5" s="1710" t="s">
        <v>1198</v>
      </c>
      <c r="AO5" s="1562" t="s">
        <v>1199</v>
      </c>
      <c r="AP5" s="1028" t="s">
        <v>1200</v>
      </c>
      <c r="AQ5" s="1711" t="s">
        <v>1201</v>
      </c>
      <c r="AR5" s="1711" t="s">
        <v>1202</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1层2-4</v>
      </c>
      <c r="B6" s="1713" t="str">
        <f>IF(A6=0,"","经营性")</f>
        <v>经营性</v>
      </c>
      <c r="C6" s="1714" t="s">
        <v>671</v>
      </c>
      <c r="D6" s="858">
        <f>SUMIF(项目基本情况!C$12:I$12,C6,项目基本情况!C$14:I$14)</f>
        <v>40</v>
      </c>
      <c r="E6" s="857">
        <f>IF(B6="","",SUMIF(项目基本情况!C$12:I$12,C6,项目基本情况!C$13:I$13))</f>
        <v>52839</v>
      </c>
      <c r="F6" s="64">
        <f>SUMIF(项目基本情况!C$12:I$12,C6,项目基本情况!C$15:I$15)</f>
        <v>20.14</v>
      </c>
      <c r="G6" s="65">
        <f>IF(ISERROR(ROUND(POWER(1+H6,D6-F6)*(POWER(1+H6,F6)-1)/(POWER(1+H6,D6)-1),3)),0,ROUND(POWER(1+H6,D6-F6)*(POWER(1+H6,F6)-1)/(POWER(1+H6,D6)-1),3))</f>
        <v>0.72899999999999998</v>
      </c>
      <c r="H6" s="732">
        <v>0.05</v>
      </c>
      <c r="I6" s="732">
        <v>5.5E-2</v>
      </c>
      <c r="J6" s="66">
        <v>7.0000000000000007E-2</v>
      </c>
      <c r="K6" s="1030">
        <f>SUMIF('数据-汇总表'!C$19:C$33,A6,'数据-汇总表'!E$19:E$33)</f>
        <v>105.14</v>
      </c>
      <c r="L6" s="733">
        <v>6000</v>
      </c>
      <c r="M6" s="67">
        <f t="shared" ref="M6:M14" si="0">ROUND(K6*L6/10000,0)</f>
        <v>63</v>
      </c>
      <c r="N6" s="731">
        <f>ROUND(1-(2024-2017)/60,2)</f>
        <v>0.88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v>16</v>
      </c>
      <c r="V6" s="70">
        <v>0.02</v>
      </c>
      <c r="W6" s="70">
        <v>0.1</v>
      </c>
      <c r="X6" s="1040"/>
      <c r="Y6" s="71">
        <f>N6</f>
        <v>0.88</v>
      </c>
      <c r="Z6" s="72"/>
      <c r="AA6" s="66"/>
      <c r="AB6" s="66"/>
      <c r="AC6" s="1040"/>
      <c r="AD6" s="73"/>
      <c r="AE6" s="1041">
        <f ca="1">IF(AN6="",0,SUMIF(INDIRECT("'"&amp;AN6&amp;"'"&amp;"!E:E"),$AE$5,INDIRECT("'"&amp;AN6&amp;"'"&amp;"!F:F")))</f>
        <v>20.14</v>
      </c>
      <c r="AF6" s="1348"/>
      <c r="AG6" s="138">
        <f>IF(AF6="",0,AE6-AF6)</f>
        <v>0</v>
      </c>
      <c r="AH6" s="74"/>
      <c r="AI6" s="76">
        <v>365</v>
      </c>
      <c r="AJ6" s="77"/>
      <c r="AK6" s="78">
        <v>0.01</v>
      </c>
      <c r="AL6" s="79">
        <v>1E-3</v>
      </c>
      <c r="AM6" s="80">
        <v>0.01</v>
      </c>
      <c r="AN6" s="1715" t="s">
        <v>3385</v>
      </c>
      <c r="AO6" s="52">
        <f ca="1">SUMIF(INDIRECT("'"&amp;AN6&amp;"'"&amp;"!A:A"),"总价",INDIRECT("'"&amp;AN6&amp;"'"&amp;"!B:B"))</f>
        <v>637.16669999999999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2层202</v>
      </c>
      <c r="B7" s="1713" t="str">
        <f t="shared" ref="B7:B13" si="1">IF(A7=0,"","经营性")</f>
        <v>经营性</v>
      </c>
      <c r="C7" s="1714" t="s">
        <v>21</v>
      </c>
      <c r="D7" s="858">
        <f>SUMIF(项目基本情况!C$12:I$12,C7,项目基本情况!C$14:I$14)</f>
        <v>50</v>
      </c>
      <c r="E7" s="857">
        <f>IF(B7="","",SUMIF(项目基本情况!C$12:I$12,C7,项目基本情况!C$13:I$13))</f>
        <v>56491</v>
      </c>
      <c r="F7" s="64">
        <f>SUMIF(项目基本情况!C$12:I$12,C7,项目基本情况!C$15:I$15)</f>
        <v>30.15</v>
      </c>
      <c r="G7" s="65">
        <f t="shared" ref="G7:G11" si="2">IF(ISERROR(ROUND(POWER(1+H7,D7-F7)*(POWER(1+H7,F7)-1)/(POWER(1+H7,D7)-1),3)),0,ROUND(POWER(1+H7,D7-F7)*(POWER(1+H7,F7)-1)/(POWER(1+H7,D7)-1),3))</f>
        <v>0.84399999999999997</v>
      </c>
      <c r="H7" s="732">
        <v>0.05</v>
      </c>
      <c r="I7" s="732">
        <v>5.5E-2</v>
      </c>
      <c r="J7" s="66">
        <v>7.0000000000000007E-2</v>
      </c>
      <c r="K7" s="1030">
        <f>SUMIF('数据-汇总表'!C$19:C$33,A7,'数据-汇总表'!E$19:E$33)</f>
        <v>672.88</v>
      </c>
      <c r="L7" s="733">
        <v>6000</v>
      </c>
      <c r="M7" s="67">
        <f t="shared" si="0"/>
        <v>404</v>
      </c>
      <c r="N7" s="731">
        <f>N6</f>
        <v>0.88</v>
      </c>
      <c r="O7" s="67" t="str">
        <f t="shared" ref="O7:O14" si="3">IF($N$5="成新度","——",ROUND(M7*N7,0))</f>
        <v>——</v>
      </c>
      <c r="P7" s="68" t="str">
        <f t="shared" ref="P7:P14" si="4">IF($N$5="成新度","——",M7-O7)</f>
        <v>——</v>
      </c>
      <c r="Q7" s="734">
        <v>0.2</v>
      </c>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v>9</v>
      </c>
      <c r="V7" s="70">
        <v>0.02</v>
      </c>
      <c r="W7" s="70">
        <v>0.1</v>
      </c>
      <c r="X7" s="1040"/>
      <c r="Y7" s="71">
        <f>N7</f>
        <v>0.88</v>
      </c>
      <c r="Z7" s="72"/>
      <c r="AA7" s="66"/>
      <c r="AB7" s="66"/>
      <c r="AC7" s="1040"/>
      <c r="AD7" s="73"/>
      <c r="AE7" s="1041">
        <f t="shared" ref="AE7:AE13" ca="1" si="6">IF(AN7="",0,SUMIF(INDIRECT("'"&amp;AN7&amp;"'"&amp;"!E:E"),$AE$5,INDIRECT("'"&amp;AN7&amp;"'"&amp;"!F:F")))</f>
        <v>30.15</v>
      </c>
      <c r="AF7" s="1348"/>
      <c r="AG7" s="138">
        <f t="shared" ref="AG7:AG13" si="7">IF(AF7="",0,AE7-AF7)</f>
        <v>0</v>
      </c>
      <c r="AH7" s="74"/>
      <c r="AI7" s="76">
        <v>365</v>
      </c>
      <c r="AJ7" s="77"/>
      <c r="AK7" s="78">
        <v>0.01</v>
      </c>
      <c r="AL7" s="79">
        <v>1E-3</v>
      </c>
      <c r="AM7" s="80">
        <v>0.01</v>
      </c>
      <c r="AN7" s="1715" t="s">
        <v>3383</v>
      </c>
      <c r="AO7" s="52">
        <f t="shared" ref="AO7:AO13" ca="1" si="8">SUMIF(INDIRECT("'"&amp;AN7&amp;"'"&amp;"!A:A"),"总价",INDIRECT("'"&amp;AN7&amp;"'"&amp;"!B:B"))</f>
        <v>2889.9256</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1203</v>
      </c>
      <c r="B14" s="1713" t="s">
        <v>1204</v>
      </c>
      <c r="C14" s="1718" t="s">
        <v>1203</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1205</v>
      </c>
      <c r="B15" s="1713" t="s">
        <v>1204</v>
      </c>
      <c r="C15" s="1718" t="s">
        <v>1206</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1207</v>
      </c>
      <c r="B16" s="88"/>
      <c r="C16" s="833"/>
      <c r="D16" s="1720"/>
      <c r="E16" s="88"/>
      <c r="F16" s="88"/>
      <c r="G16" s="89">
        <f>ROUND(SUMPRODUCT(G6:G13,K6:K13)/SUMPRODUCT((G6:G13&gt;0)*(K6:K13)),3)</f>
        <v>0.82799999999999996</v>
      </c>
      <c r="H16" s="90">
        <f>ROUND(SUMPRODUCT(H6:H13,K6:K13)/SUMPRODUCT((H6:H13&gt;0)*(K6:K13)),3)</f>
        <v>0.05</v>
      </c>
      <c r="I16" s="91"/>
      <c r="J16" s="91"/>
      <c r="K16" s="92">
        <f>SUM(K6:K15)</f>
        <v>778.02</v>
      </c>
      <c r="L16" s="93">
        <f>ROUND(M16*10000/SUM(K6:K14),0)</f>
        <v>6002</v>
      </c>
      <c r="M16" s="93">
        <f>SUM(M6:M14)</f>
        <v>467</v>
      </c>
      <c r="N16" s="94">
        <f>ROUND(SUMPRODUCT(M6:M14,N6:N14)/M16,3)</f>
        <v>0.88</v>
      </c>
      <c r="O16" s="93">
        <f>SUM(O6:O14)</f>
        <v>0</v>
      </c>
      <c r="P16" s="93">
        <f>SUM(P6:P14)</f>
        <v>0</v>
      </c>
      <c r="Q16" s="95">
        <f>ROUND(SUMPRODUCT(Q6:Q13,K6:K13)/SUMPRODUCT((Q6:Q13&gt;0)*(K6:K13)),2)</f>
        <v>0.21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1208</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1209</v>
      </c>
      <c r="B19" s="103">
        <v>0</v>
      </c>
      <c r="C19" s="2799" t="s">
        <v>2294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1210</v>
      </c>
      <c r="B20" s="104">
        <v>2</v>
      </c>
      <c r="C20" s="2800" t="s">
        <v>2292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1211</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1212</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1213</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1214</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1215</v>
      </c>
      <c r="B26" s="1726" t="s">
        <v>1216</v>
      </c>
      <c r="C26" s="2677" t="s">
        <v>1217</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1218</v>
      </c>
      <c r="B27" s="107">
        <v>160</v>
      </c>
      <c r="C27" s="2801" t="s">
        <v>2296</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1219</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1220</v>
      </c>
      <c r="B29" s="112">
        <f>B28*K16/10000</f>
        <v>15.5604</v>
      </c>
      <c r="C29" s="2802" t="s">
        <v>2283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1221</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1222</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1223</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1224</v>
      </c>
      <c r="B33" s="673">
        <v>0.05</v>
      </c>
      <c r="C33" s="2803" t="s">
        <v>2284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1225</v>
      </c>
      <c r="B34" s="113">
        <v>0</v>
      </c>
      <c r="C34" s="2803" t="s">
        <v>2285</v>
      </c>
      <c r="D34" s="2684" t="s">
        <v>2293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1226</v>
      </c>
      <c r="B35" s="110">
        <v>200</v>
      </c>
      <c r="C35" s="2803" t="s">
        <v>2286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1227</v>
      </c>
      <c r="B36" s="114">
        <v>1.4999999999999999E-2</v>
      </c>
      <c r="C36" s="2803" t="s">
        <v>2287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1228</v>
      </c>
      <c r="B37" s="115">
        <v>0.03</v>
      </c>
      <c r="C37" s="2803" t="s">
        <v>2288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1229</v>
      </c>
      <c r="B38" s="113">
        <v>0.03</v>
      </c>
      <c r="C38" s="2803" t="s">
        <v>2288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1230</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2303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1231</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1232</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1233</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1234</v>
      </c>
      <c r="B44" s="119">
        <v>7.0000000000000007E-2</v>
      </c>
      <c r="C44" s="2803" t="s">
        <v>2297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1235</v>
      </c>
      <c r="B45" s="117">
        <v>0.03</v>
      </c>
      <c r="C45" s="2802" t="s">
        <v>2289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1236</v>
      </c>
      <c r="B46" s="117">
        <v>0.02</v>
      </c>
      <c r="C46" s="2802" t="s">
        <v>2290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1237</v>
      </c>
      <c r="B47" s="120"/>
      <c r="C47" s="2805" t="s">
        <v>2298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1238</v>
      </c>
      <c r="B48" s="121">
        <v>0.03</v>
      </c>
      <c r="C48" s="2802" t="s">
        <v>2289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1239</v>
      </c>
      <c r="B49" s="117">
        <v>5.0000000000000001E-4</v>
      </c>
      <c r="C49" s="2802" t="s">
        <v>2291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1240</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1241</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1242</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1243</v>
      </c>
      <c r="B53" s="1738"/>
      <c r="C53" s="2661" t="s">
        <v>1244</v>
      </c>
      <c r="D53" s="2804" t="s">
        <v>2295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1245</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1246</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1247</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1248</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1249</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1250</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1251</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1252</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1253</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1254</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72" t="s">
        <v>2275</v>
      </c>
      <c r="B1" s="3573"/>
      <c r="C1" s="3573"/>
      <c r="D1" s="3573"/>
      <c r="E1" s="3573"/>
      <c r="F1" s="3573"/>
      <c r="G1" s="357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2272</v>
      </c>
      <c r="D2" s="2461"/>
      <c r="E2" s="2458"/>
      <c r="F2" s="2462"/>
      <c r="G2" s="2460" t="s">
        <v>2273</v>
      </c>
      <c r="H2" s="799"/>
      <c r="I2" s="799"/>
      <c r="J2" s="799"/>
      <c r="K2" s="799"/>
      <c r="L2" s="799"/>
      <c r="M2" s="799"/>
      <c r="N2" s="799"/>
      <c r="O2" s="799"/>
      <c r="P2" s="799"/>
      <c r="Q2" s="799"/>
      <c r="R2" s="799"/>
    </row>
    <row r="3" spans="1:29" ht="24">
      <c r="A3" s="2441" t="s">
        <v>2274</v>
      </c>
      <c r="B3" s="2463" t="s">
        <v>2250</v>
      </c>
      <c r="C3" s="2464"/>
      <c r="D3" s="2465"/>
      <c r="E3" s="2442" t="s">
        <v>2274</v>
      </c>
      <c r="F3" s="2466" t="s">
        <v>2251</v>
      </c>
      <c r="G3" s="2467"/>
      <c r="H3" s="799"/>
      <c r="I3" s="799"/>
      <c r="J3" s="799"/>
      <c r="K3" s="799"/>
      <c r="L3" s="799"/>
      <c r="M3" s="799"/>
      <c r="N3" s="799"/>
      <c r="O3" s="799"/>
      <c r="P3" s="799"/>
      <c r="Q3" s="799"/>
      <c r="R3" s="799"/>
    </row>
    <row r="4" spans="1:29">
      <c r="A4" s="2442"/>
      <c r="B4" s="323" t="s">
        <v>2252</v>
      </c>
      <c r="C4" s="2468"/>
      <c r="D4" s="2465"/>
      <c r="E4" s="2469"/>
      <c r="F4" s="1373" t="s">
        <v>2253</v>
      </c>
      <c r="G4" s="2470"/>
      <c r="H4" s="799"/>
      <c r="I4" s="799"/>
      <c r="J4" s="799"/>
      <c r="K4" s="799"/>
      <c r="L4" s="799"/>
      <c r="M4" s="799"/>
      <c r="N4" s="799"/>
      <c r="O4" s="799"/>
      <c r="P4" s="799"/>
      <c r="Q4" s="799"/>
      <c r="R4" s="799"/>
    </row>
    <row r="5" spans="1:29">
      <c r="A5" s="2442"/>
      <c r="B5" s="323" t="s">
        <v>2254</v>
      </c>
      <c r="C5" s="2468"/>
      <c r="D5" s="2465"/>
      <c r="E5" s="2469"/>
      <c r="F5" s="323" t="s">
        <v>2255</v>
      </c>
      <c r="G5" s="2470"/>
      <c r="H5" s="799"/>
      <c r="I5" s="799"/>
      <c r="J5" s="799"/>
      <c r="K5" s="799"/>
      <c r="L5" s="799"/>
      <c r="M5" s="799"/>
      <c r="N5" s="799"/>
      <c r="O5" s="799"/>
      <c r="P5" s="799"/>
      <c r="Q5" s="799"/>
      <c r="R5" s="799"/>
    </row>
    <row r="6" spans="1:29">
      <c r="A6" s="2442"/>
      <c r="B6" s="323" t="s">
        <v>2256</v>
      </c>
      <c r="C6" s="2470"/>
      <c r="D6" s="2465"/>
      <c r="E6" s="2469"/>
      <c r="F6" s="323" t="s">
        <v>2257</v>
      </c>
      <c r="G6" s="2470"/>
      <c r="H6" s="799"/>
      <c r="I6" s="799"/>
      <c r="J6" s="799"/>
      <c r="K6" s="799"/>
      <c r="L6" s="799"/>
      <c r="M6" s="799"/>
      <c r="N6" s="799"/>
      <c r="O6" s="799"/>
      <c r="P6" s="799"/>
      <c r="Q6" s="799"/>
      <c r="R6" s="799"/>
    </row>
    <row r="7" spans="1:29" ht="15" thickBot="1">
      <c r="A7" s="2442"/>
      <c r="B7" s="323" t="s">
        <v>2255</v>
      </c>
      <c r="C7" s="2470"/>
      <c r="D7" s="2471"/>
      <c r="E7" s="2472"/>
      <c r="F7" s="2473" t="s">
        <v>2258</v>
      </c>
      <c r="G7" s="2474"/>
      <c r="H7" s="799"/>
      <c r="I7" s="799"/>
      <c r="J7" s="799"/>
      <c r="K7" s="799"/>
      <c r="L7" s="799"/>
      <c r="M7" s="799"/>
      <c r="N7" s="799"/>
      <c r="O7" s="799"/>
      <c r="P7" s="799"/>
      <c r="Q7" s="799"/>
      <c r="R7" s="799"/>
    </row>
    <row r="8" spans="1:29">
      <c r="A8" s="2442"/>
      <c r="B8" s="323" t="s">
        <v>2257</v>
      </c>
      <c r="C8" s="2470"/>
      <c r="D8" s="2471"/>
      <c r="E8" s="2471"/>
      <c r="F8" s="2475"/>
      <c r="G8" s="2475"/>
      <c r="H8" s="799"/>
      <c r="I8" s="799"/>
      <c r="J8" s="799"/>
      <c r="K8" s="799"/>
      <c r="L8" s="799"/>
      <c r="M8" s="799"/>
      <c r="N8" s="799"/>
      <c r="O8" s="799"/>
      <c r="P8" s="799"/>
      <c r="Q8" s="799"/>
      <c r="R8" s="799"/>
    </row>
    <row r="9" spans="1:29">
      <c r="A9" s="2442"/>
      <c r="B9" s="323" t="s">
        <v>2259</v>
      </c>
      <c r="C9" s="2468"/>
      <c r="D9" s="2465"/>
      <c r="E9" s="2471"/>
      <c r="F9" s="2475"/>
      <c r="G9" s="2475"/>
      <c r="H9" s="799"/>
      <c r="I9" s="799"/>
      <c r="J9" s="799"/>
      <c r="K9" s="799"/>
      <c r="L9" s="799"/>
      <c r="M9" s="799"/>
      <c r="N9" s="799"/>
      <c r="O9" s="799"/>
      <c r="P9" s="799"/>
      <c r="Q9" s="799"/>
      <c r="R9" s="799"/>
    </row>
    <row r="10" spans="1:29" s="2481" customFormat="1" ht="15" thickBot="1">
      <c r="A10" s="2443"/>
      <c r="B10" s="2476" t="s">
        <v>2260</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2276</v>
      </c>
      <c r="B13" s="2484"/>
      <c r="C13" s="2484"/>
      <c r="D13" s="2482"/>
      <c r="E13" s="2484"/>
      <c r="F13" s="2484"/>
      <c r="G13" s="2484"/>
    </row>
    <row r="14" spans="1:29" ht="15" thickBot="1">
      <c r="A14" s="2494"/>
      <c r="B14" s="2494"/>
      <c r="C14" s="2495" t="s">
        <v>2261</v>
      </c>
      <c r="D14" s="2465"/>
      <c r="E14" s="2496"/>
      <c r="F14" s="2496"/>
      <c r="G14" s="2460" t="s">
        <v>2262</v>
      </c>
    </row>
    <row r="15" spans="1:29" ht="24">
      <c r="A15" s="2444" t="s">
        <v>2263</v>
      </c>
      <c r="B15" s="2497" t="s">
        <v>2250</v>
      </c>
      <c r="C15" s="2498">
        <f>C3</f>
        <v>0</v>
      </c>
      <c r="D15" s="2465"/>
      <c r="E15" s="2445" t="s">
        <v>2264</v>
      </c>
      <c r="F15" s="2497" t="s">
        <v>2265</v>
      </c>
      <c r="G15" s="2499">
        <f>G3</f>
        <v>0</v>
      </c>
    </row>
    <row r="16" spans="1:29">
      <c r="A16" s="2446"/>
      <c r="B16" s="2500" t="s">
        <v>2252</v>
      </c>
      <c r="C16" s="2501">
        <f>C4</f>
        <v>0</v>
      </c>
      <c r="D16" s="2465"/>
      <c r="E16" s="2447"/>
      <c r="F16" s="2502" t="s">
        <v>2253</v>
      </c>
      <c r="G16" s="2503">
        <f>G4</f>
        <v>0</v>
      </c>
    </row>
    <row r="17" spans="1:18">
      <c r="A17" s="2446"/>
      <c r="B17" s="2500" t="s">
        <v>2254</v>
      </c>
      <c r="C17" s="2501">
        <f>C5</f>
        <v>0</v>
      </c>
      <c r="D17" s="2471"/>
      <c r="E17" s="2447"/>
      <c r="F17" s="2502" t="s">
        <v>2266</v>
      </c>
      <c r="G17" s="2504"/>
    </row>
    <row r="18" spans="1:18">
      <c r="A18" s="2446"/>
      <c r="B18" s="2502" t="s">
        <v>2256</v>
      </c>
      <c r="C18" s="2503">
        <f>C6</f>
        <v>0</v>
      </c>
      <c r="D18" s="2471"/>
      <c r="E18" s="2447"/>
      <c r="F18" s="2502" t="s">
        <v>2258</v>
      </c>
      <c r="G18" s="2503">
        <f>G7</f>
        <v>0</v>
      </c>
    </row>
    <row r="19" spans="1:18">
      <c r="A19" s="2446"/>
      <c r="B19" s="2502" t="s">
        <v>2267</v>
      </c>
      <c r="C19" s="2504"/>
      <c r="D19" s="2465"/>
      <c r="E19" s="2447"/>
      <c r="F19" s="323" t="s">
        <v>2255</v>
      </c>
      <c r="G19" s="2503">
        <f>G5</f>
        <v>0</v>
      </c>
    </row>
    <row r="20" spans="1:18">
      <c r="A20" s="2446"/>
      <c r="B20" s="2502" t="s">
        <v>2268</v>
      </c>
      <c r="C20" s="2501">
        <f>C9</f>
        <v>0</v>
      </c>
      <c r="D20" s="2471"/>
      <c r="E20" s="2447"/>
      <c r="F20" s="323" t="s">
        <v>2257</v>
      </c>
      <c r="G20" s="2503">
        <f>G6</f>
        <v>0</v>
      </c>
    </row>
    <row r="21" spans="1:18">
      <c r="A21" s="2446"/>
      <c r="B21" s="323" t="s">
        <v>2255</v>
      </c>
      <c r="C21" s="2503">
        <f>C7</f>
        <v>0</v>
      </c>
      <c r="D21" s="2465"/>
      <c r="E21" s="2447"/>
      <c r="F21" s="2502" t="s">
        <v>2269</v>
      </c>
      <c r="G21" s="2505"/>
    </row>
    <row r="22" spans="1:18" ht="13.5" customHeight="1">
      <c r="A22" s="2446"/>
      <c r="B22" s="323" t="s">
        <v>2257</v>
      </c>
      <c r="C22" s="2503">
        <f>C8</f>
        <v>0</v>
      </c>
      <c r="D22" s="2465"/>
      <c r="E22" s="2447"/>
      <c r="F22" s="2502" t="s">
        <v>2260</v>
      </c>
      <c r="G22" s="2504"/>
    </row>
    <row r="23" spans="1:18" s="799" customFormat="1" ht="15" thickBot="1">
      <c r="A23" s="2446"/>
      <c r="B23" s="2502" t="s">
        <v>2269</v>
      </c>
      <c r="C23" s="2505"/>
      <c r="D23" s="1741"/>
      <c r="E23" s="2448"/>
      <c r="F23" s="2506" t="s">
        <v>2270</v>
      </c>
      <c r="G23" s="2507"/>
      <c r="H23" s="2491"/>
      <c r="I23" s="2492"/>
      <c r="J23" s="2491"/>
      <c r="K23" s="2491"/>
      <c r="L23" s="2492"/>
      <c r="M23" s="2491"/>
      <c r="N23" s="2491"/>
      <c r="O23" s="2492"/>
      <c r="P23" s="2491"/>
      <c r="Q23" s="2491"/>
      <c r="R23" s="2493"/>
    </row>
    <row r="24" spans="1:18" s="799" customFormat="1" ht="15" thickBot="1">
      <c r="A24" s="2449"/>
      <c r="B24" s="2506" t="s">
        <v>2271</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6" sqref="E36"/>
    </sheetView>
  </sheetViews>
  <sheetFormatPr defaultColWidth="9" defaultRowHeight="13.5"/>
  <cols>
    <col min="1" max="1" width="25" style="2513" customWidth="1"/>
    <col min="2" max="9" width="15.75" style="2513" customWidth="1"/>
    <col min="10" max="16384" width="9" style="2513"/>
  </cols>
  <sheetData>
    <row r="1" spans="1:11" ht="16.5">
      <c r="A1" s="2512" t="s">
        <v>663</v>
      </c>
      <c r="B1" s="2512">
        <f>SUM(B14:B23)</f>
        <v>778.02</v>
      </c>
      <c r="C1" s="2686"/>
      <c r="D1" s="2686"/>
      <c r="E1" s="2686"/>
      <c r="F1" s="2686"/>
      <c r="G1" s="2687"/>
      <c r="H1" s="2688"/>
      <c r="I1" s="2688"/>
      <c r="J1" s="2688"/>
      <c r="K1" s="2688"/>
    </row>
    <row r="2" spans="1:11" ht="16.5">
      <c r="A2" s="2512" t="s">
        <v>651</v>
      </c>
      <c r="B2" s="2512">
        <f>SUM(C14:C23)</f>
        <v>0</v>
      </c>
      <c r="C2" s="2686"/>
      <c r="D2" s="2686"/>
      <c r="E2" s="2686"/>
      <c r="F2" s="2686"/>
      <c r="G2" s="2687"/>
      <c r="H2" s="2688"/>
      <c r="I2" s="2688"/>
      <c r="J2" s="2688"/>
      <c r="K2" s="2688"/>
    </row>
    <row r="3" spans="1:11" ht="16.5">
      <c r="A3" s="2512" t="s">
        <v>660</v>
      </c>
      <c r="B3" s="2514">
        <f>项目基本情况!D3</f>
        <v>45485</v>
      </c>
      <c r="C3" s="2686"/>
      <c r="D3" s="2686"/>
      <c r="E3" s="2686"/>
      <c r="F3" s="2686"/>
      <c r="G3" s="2687"/>
      <c r="H3" s="2688"/>
      <c r="I3" s="2688"/>
      <c r="J3" s="2688"/>
      <c r="K3" s="2688"/>
    </row>
    <row r="4" spans="1:11" ht="33">
      <c r="A4" s="2512" t="s">
        <v>659</v>
      </c>
      <c r="B4" s="2512" t="s">
        <v>658</v>
      </c>
      <c r="C4" s="2512" t="s">
        <v>657</v>
      </c>
      <c r="D4" s="2512" t="s">
        <v>656</v>
      </c>
      <c r="E4" s="2686"/>
      <c r="F4" s="2687"/>
      <c r="G4" s="2687"/>
      <c r="H4" s="2688"/>
      <c r="I4" s="2688"/>
      <c r="J4" s="2688"/>
      <c r="K4" s="2688"/>
    </row>
    <row r="5" spans="1:11" ht="16.5">
      <c r="A5" s="2512" t="s">
        <v>655</v>
      </c>
      <c r="B5" s="2512">
        <f ca="1">SUM(D14:D23)</f>
        <v>5160</v>
      </c>
      <c r="C5" s="2512">
        <f ca="1">IF(B5=D14,'结果表-商业'!H102,ROUND(B5*10000/$B$1,0))</f>
        <v>66322</v>
      </c>
      <c r="D5" s="2512" t="e">
        <f ca="1">ROUND(B5*10000/$B$2,0)</f>
        <v>#DIV/0!</v>
      </c>
      <c r="E5" s="2686"/>
      <c r="F5" s="2687"/>
      <c r="G5" s="2687"/>
      <c r="H5" s="2688"/>
      <c r="I5" s="2688"/>
      <c r="J5" s="2688"/>
      <c r="K5" s="2688"/>
    </row>
    <row r="6" spans="1:11" ht="16.5">
      <c r="A6" s="2512" t="s">
        <v>654</v>
      </c>
      <c r="B6" s="2512">
        <f>SUM(G14:G23)</f>
        <v>0</v>
      </c>
      <c r="C6" s="2512">
        <f ca="1">IF(B6=G14,'结果表-商业'!H108,ROUND(B6*10000/$B$1,0))</f>
        <v>0</v>
      </c>
      <c r="D6" s="2512" t="e">
        <f>ROUND(B6*10000/$B$2,0)</f>
        <v>#DIV/0!</v>
      </c>
      <c r="E6" s="2686"/>
      <c r="F6" s="2687"/>
      <c r="G6" s="2687"/>
      <c r="H6" s="2688"/>
      <c r="I6" s="2688"/>
      <c r="J6" s="2688"/>
      <c r="K6" s="2688"/>
    </row>
    <row r="7" spans="1:11" ht="16.5">
      <c r="A7" s="2512" t="s">
        <v>662</v>
      </c>
      <c r="B7" s="2512">
        <f>SUM(H14:H23)</f>
        <v>0</v>
      </c>
      <c r="C7" s="2512" t="str">
        <f>IF(B7=H14,'结果表-商业'!H110,ROUND(B7*10000/$B$1,0))</f>
        <v>——</v>
      </c>
      <c r="D7" s="2512" t="e">
        <f>ROUND(B7*10000/$B$2,0)</f>
        <v>#DIV/0!</v>
      </c>
      <c r="E7" s="2686"/>
      <c r="F7" s="2687"/>
      <c r="G7" s="2687"/>
      <c r="H7" s="2688"/>
      <c r="I7" s="2688"/>
      <c r="J7" s="2688"/>
      <c r="K7" s="2688"/>
    </row>
    <row r="8" spans="1:11" ht="16.5">
      <c r="A8" s="2512" t="s">
        <v>587</v>
      </c>
      <c r="B8" s="2512">
        <f>SUM(I14:I23)</f>
        <v>0</v>
      </c>
      <c r="C8" s="2512" t="str">
        <f>IF(B8=I14,'结果表-商业'!H112,ROUND(B8*10000/$B$1,0))</f>
        <v>——</v>
      </c>
      <c r="D8" s="2512" t="e">
        <f>ROUND(B8*10000/$B$2,0)</f>
        <v>#DIV/0!</v>
      </c>
      <c r="E8" s="2686"/>
      <c r="F8" s="2687"/>
      <c r="G8" s="2687"/>
      <c r="H8" s="2688"/>
      <c r="I8" s="2688"/>
      <c r="J8" s="2688"/>
      <c r="K8" s="2688"/>
    </row>
    <row r="9" spans="1:11" ht="16.5">
      <c r="A9" s="2512" t="s">
        <v>653</v>
      </c>
      <c r="B9" s="2520"/>
      <c r="C9" s="2686"/>
      <c r="D9" s="2686"/>
      <c r="E9" s="2686"/>
      <c r="F9" s="2687"/>
      <c r="G9" s="2687"/>
      <c r="H9" s="2688"/>
      <c r="I9" s="2688"/>
      <c r="J9" s="2688"/>
      <c r="K9" s="2688"/>
    </row>
    <row r="10" spans="1:11" ht="16.5">
      <c r="A10" s="2512" t="s">
        <v>652</v>
      </c>
      <c r="B10" s="2512">
        <f>IF(E10="",0,ROUND(B1*(E10*365/G10)/10000,0))</f>
        <v>0</v>
      </c>
      <c r="C10" s="2512" t="s">
        <v>3349</v>
      </c>
      <c r="D10" s="2512" t="s">
        <v>3350</v>
      </c>
      <c r="E10" s="3441"/>
      <c r="F10" s="3445" t="s">
        <v>3351</v>
      </c>
      <c r="G10" s="3442"/>
      <c r="H10" s="2688"/>
      <c r="I10" s="2688"/>
      <c r="J10" s="2688"/>
      <c r="K10" s="2688"/>
    </row>
    <row r="11" spans="1:11" ht="16.5">
      <c r="A11" s="2512" t="s">
        <v>668</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667</v>
      </c>
      <c r="B13" s="2516" t="s">
        <v>664</v>
      </c>
      <c r="C13" s="2516" t="s">
        <v>666</v>
      </c>
      <c r="D13" s="2516" t="s">
        <v>665</v>
      </c>
      <c r="E13" s="2512" t="s">
        <v>657</v>
      </c>
      <c r="F13" s="2512" t="s">
        <v>656</v>
      </c>
      <c r="G13" s="2516" t="s">
        <v>650</v>
      </c>
      <c r="H13" s="2516" t="s">
        <v>661</v>
      </c>
      <c r="I13" s="2516" t="s">
        <v>649</v>
      </c>
      <c r="J13" s="2687"/>
      <c r="K13" s="2688"/>
    </row>
    <row r="14" spans="1:11" ht="16.5">
      <c r="A14" s="2517" t="s">
        <v>3410</v>
      </c>
      <c r="B14" s="2517">
        <f>'数据-汇总表'!F19</f>
        <v>105.14</v>
      </c>
      <c r="C14" s="2517"/>
      <c r="D14" s="2517">
        <f ca="1">'结果表-商业'!G19</f>
        <v>996</v>
      </c>
      <c r="E14" s="2518">
        <f ca="1">ROUND(D14*10000/B14,0)</f>
        <v>94731</v>
      </c>
      <c r="F14" s="2518" t="e">
        <f ca="1">ROUND(D14*10000/C14,0)</f>
        <v>#DIV/0!</v>
      </c>
      <c r="G14" s="2518"/>
      <c r="H14" s="2518"/>
      <c r="I14" s="2518"/>
      <c r="J14" s="2687"/>
      <c r="K14" s="2688"/>
    </row>
    <row r="15" spans="1:11" ht="16.5">
      <c r="A15" s="2517" t="s">
        <v>3411</v>
      </c>
      <c r="B15" s="2517">
        <f>'数据-汇总表'!F20</f>
        <v>672.88</v>
      </c>
      <c r="C15" s="2517"/>
      <c r="D15" s="2517">
        <f ca="1">'结果表-办公'!G19</f>
        <v>4164</v>
      </c>
      <c r="E15" s="2518">
        <f t="shared" ref="E15:E23" ca="1" si="0">ROUND(D15*10000/B15,0)</f>
        <v>61883</v>
      </c>
      <c r="F15" s="2518" t="e">
        <f t="shared" ref="F15:F23" ca="1"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K26" sqref="K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1262</v>
      </c>
      <c r="B3" s="3613"/>
      <c r="C3" s="3613"/>
      <c r="D3" s="3613"/>
      <c r="E3" s="3613"/>
      <c r="F3" s="3613"/>
      <c r="G3" s="3613"/>
      <c r="H3" s="3613"/>
      <c r="I3" s="3613"/>
    </row>
    <row r="4" spans="1:12" ht="14.25">
      <c r="A4" s="1754" t="s">
        <v>1263</v>
      </c>
      <c r="B4" s="1755" t="s">
        <v>1264</v>
      </c>
      <c r="C4" s="1756" t="s">
        <v>3393</v>
      </c>
      <c r="D4" s="1756" t="s">
        <v>3385</v>
      </c>
      <c r="E4" s="3614" t="s">
        <v>1265</v>
      </c>
      <c r="F4" s="3615"/>
      <c r="G4" s="3615"/>
      <c r="H4" s="3615"/>
      <c r="I4" s="3616"/>
      <c r="K4" s="146" t="str">
        <f>IF(ISNUMBER(FIND("比较法",'结果表-商业'!C4)),"比较法",IF(ISNUMBER(FIND("成本法",'结果表-商业'!C4)),"成本法",IF(ISNUMBER(FIND("假设开发法",'结果表-商业'!C4)),"假设开发法",IF(ISNUMBER(FIND("收益法",'结果表-商业'!C4)),"收益法","基准地价系数修正法"))))</f>
        <v>比较法</v>
      </c>
      <c r="L4" s="146"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588" t="s">
        <v>1266</v>
      </c>
      <c r="B5" s="3575">
        <v>25</v>
      </c>
      <c r="C5" s="3591"/>
      <c r="D5" s="3611"/>
      <c r="E5" s="131" t="s">
        <v>1267</v>
      </c>
      <c r="F5" s="1757"/>
      <c r="G5" s="1757"/>
      <c r="H5" s="1757"/>
      <c r="I5" s="1373"/>
    </row>
    <row r="6" spans="1:12" ht="12.75">
      <c r="A6" s="3588"/>
      <c r="B6" s="3575"/>
      <c r="C6" s="3592"/>
      <c r="D6" s="3611"/>
      <c r="E6" s="131" t="s">
        <v>1268</v>
      </c>
      <c r="F6" s="1757"/>
      <c r="G6" s="1757"/>
      <c r="H6" s="1757"/>
      <c r="I6" s="1373"/>
    </row>
    <row r="7" spans="1:12" ht="12.75">
      <c r="A7" s="3588"/>
      <c r="B7" s="3575"/>
      <c r="C7" s="3593"/>
      <c r="D7" s="3611"/>
      <c r="E7" s="131" t="s">
        <v>1269</v>
      </c>
      <c r="F7" s="1757"/>
      <c r="G7" s="1757"/>
      <c r="H7" s="1757"/>
      <c r="I7" s="1373"/>
    </row>
    <row r="8" spans="1:12" ht="12.75">
      <c r="A8" s="3588" t="s">
        <v>1270</v>
      </c>
      <c r="B8" s="3575">
        <v>15</v>
      </c>
      <c r="C8" s="3591"/>
      <c r="D8" s="3611"/>
      <c r="E8" s="131" t="s">
        <v>1271</v>
      </c>
      <c r="F8" s="1757"/>
      <c r="G8" s="1757"/>
      <c r="H8" s="1757"/>
      <c r="I8" s="1373"/>
    </row>
    <row r="9" spans="1:12" ht="12.75">
      <c r="A9" s="3588"/>
      <c r="B9" s="3575"/>
      <c r="C9" s="3593"/>
      <c r="D9" s="3611"/>
      <c r="E9" s="131" t="s">
        <v>1272</v>
      </c>
      <c r="F9" s="1757"/>
      <c r="G9" s="1757"/>
      <c r="H9" s="1757"/>
      <c r="I9" s="1373"/>
    </row>
    <row r="10" spans="1:12" ht="12.75">
      <c r="A10" s="3588" t="s">
        <v>1273</v>
      </c>
      <c r="B10" s="3575">
        <v>15</v>
      </c>
      <c r="C10" s="3591"/>
      <c r="D10" s="3611"/>
      <c r="E10" s="131" t="s">
        <v>1274</v>
      </c>
      <c r="F10" s="1757"/>
      <c r="G10" s="1757"/>
      <c r="H10" s="1757"/>
      <c r="I10" s="1373"/>
    </row>
    <row r="11" spans="1:12" ht="12.75">
      <c r="A11" s="3588"/>
      <c r="B11" s="3575"/>
      <c r="C11" s="3593"/>
      <c r="D11" s="3611"/>
      <c r="E11" s="131" t="s">
        <v>1275</v>
      </c>
      <c r="F11" s="1757"/>
      <c r="G11" s="1757"/>
      <c r="H11" s="1757"/>
      <c r="I11" s="1373"/>
    </row>
    <row r="12" spans="1:12" ht="12.75">
      <c r="A12" s="3588" t="s">
        <v>1276</v>
      </c>
      <c r="B12" s="3575">
        <v>15</v>
      </c>
      <c r="C12" s="3591"/>
      <c r="D12" s="3611"/>
      <c r="E12" s="131" t="s">
        <v>1277</v>
      </c>
      <c r="F12" s="1757"/>
      <c r="G12" s="1757"/>
      <c r="H12" s="1757"/>
      <c r="I12" s="1373"/>
    </row>
    <row r="13" spans="1:12" ht="12.75">
      <c r="A13" s="3588"/>
      <c r="B13" s="3575"/>
      <c r="C13" s="3593"/>
      <c r="D13" s="3611"/>
      <c r="E13" s="131" t="s">
        <v>1278</v>
      </c>
      <c r="F13" s="1757"/>
      <c r="G13" s="1757"/>
      <c r="H13" s="1757"/>
      <c r="I13" s="1373"/>
    </row>
    <row r="14" spans="1:12" ht="12.75">
      <c r="A14" s="3588" t="s">
        <v>1279</v>
      </c>
      <c r="B14" s="3575">
        <v>30</v>
      </c>
      <c r="C14" s="3591">
        <v>6</v>
      </c>
      <c r="D14" s="3611">
        <v>4</v>
      </c>
      <c r="E14" s="131" t="s">
        <v>1280</v>
      </c>
      <c r="F14" s="1757"/>
      <c r="G14" s="1757"/>
      <c r="H14" s="1757"/>
      <c r="I14" s="1373"/>
    </row>
    <row r="15" spans="1:12" ht="12.75">
      <c r="A15" s="3588"/>
      <c r="B15" s="3575"/>
      <c r="C15" s="3592"/>
      <c r="D15" s="3611"/>
      <c r="E15" s="131" t="s">
        <v>1281</v>
      </c>
      <c r="F15" s="1757"/>
      <c r="G15" s="1757"/>
      <c r="H15" s="1757"/>
      <c r="I15" s="1373"/>
    </row>
    <row r="16" spans="1:12" ht="12.75">
      <c r="A16" s="3588"/>
      <c r="B16" s="3575"/>
      <c r="C16" s="3593"/>
      <c r="D16" s="3611"/>
      <c r="E16" s="131" t="s">
        <v>1282</v>
      </c>
      <c r="F16" s="1757"/>
      <c r="G16" s="1757"/>
      <c r="H16" s="1757"/>
      <c r="I16" s="1373"/>
    </row>
    <row r="17" spans="1:36" ht="15">
      <c r="A17" s="1758" t="s">
        <v>1283</v>
      </c>
      <c r="B17" s="56"/>
      <c r="C17" s="132">
        <f>SUM(C5:C16)</f>
        <v>6</v>
      </c>
      <c r="D17" s="132">
        <f>SUM(D5:D16)</f>
        <v>4</v>
      </c>
      <c r="E17" s="129"/>
      <c r="F17" s="129"/>
      <c r="G17" s="129"/>
      <c r="H17" s="129"/>
      <c r="I17" s="129"/>
      <c r="K17" s="302"/>
      <c r="L17" s="302" t="s">
        <v>1284</v>
      </c>
      <c r="M17" s="302" t="s">
        <v>1285</v>
      </c>
    </row>
    <row r="18" spans="1:36" ht="31.9" customHeight="1" thickBot="1">
      <c r="A18" s="1759" t="s">
        <v>1286</v>
      </c>
      <c r="B18" s="1760"/>
      <c r="C18" s="133">
        <f>ROUND(C17/SUM(C17:D17),2)</f>
        <v>0.6</v>
      </c>
      <c r="D18" s="133">
        <f>1-C18</f>
        <v>0.4</v>
      </c>
      <c r="E18" s="3598" t="s">
        <v>2129</v>
      </c>
      <c r="F18" s="3599"/>
      <c r="G18" s="3599"/>
      <c r="H18" s="3599"/>
      <c r="I18" s="3599"/>
      <c r="K18" s="302" t="s">
        <v>1287</v>
      </c>
      <c r="L18" s="302">
        <f>IF(C1="",'数据-汇总表'!E3,SUMIF(项目类型,C1,'数据-汇总表'!E17:E26)+SUMIF(项目类型,C1,'数据-汇总表'!I17:I26))</f>
        <v>778.02</v>
      </c>
      <c r="M18" s="302">
        <f>IF(C1="",'数据-汇总表'!E3,SUMIF(项目类型,C1,'数据-汇总表'!E17:E26))</f>
        <v>778.02</v>
      </c>
    </row>
    <row r="19" spans="1:36" ht="15">
      <c r="A19" s="1761" t="s">
        <v>1288</v>
      </c>
      <c r="B19" s="1762" t="s">
        <v>1289</v>
      </c>
      <c r="C19" s="134">
        <f ca="1">SUMIF(INDIRECT("'"&amp;C4&amp;"'"&amp;"!A:A"),'结果表-商业'!B19,INDIRECT("'"&amp;C4&amp;"'"&amp;"!B:B"))</f>
        <v>1235.3634999999999</v>
      </c>
      <c r="D19" s="135">
        <f ca="1">SUMIF(INDIRECT("'"&amp;D4&amp;"'"&amp;"!A:A"),'结果表-商业'!B19,INDIRECT("'"&amp;D4&amp;"'"&amp;"!B:B"))</f>
        <v>637.16669999999999</v>
      </c>
      <c r="E19" s="1761" t="s">
        <v>1290</v>
      </c>
      <c r="F19" s="1762" t="s">
        <v>1289</v>
      </c>
      <c r="G19" s="136">
        <f ca="1">ROUND(C19*$C$18+D19*$D$18,0)</f>
        <v>996</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SUMIF(INDIRECT("'"&amp;C4&amp;"'"&amp;"!A:A"),'结果表-商业'!B20,INDIRECT("'"&amp;C4&amp;"'"&amp;"!B:B"))</f>
        <v>117497</v>
      </c>
      <c r="D20" s="138">
        <f ca="1">SUMIF(INDIRECT("'"&amp;D4&amp;"'"&amp;"!A:A"),'结果表-商业'!B20,INDIRECT("'"&amp;D4&amp;"'"&amp;"!B:B"))</f>
        <v>60602</v>
      </c>
      <c r="E20" s="1764"/>
      <c r="F20" s="1026" t="s">
        <v>1293</v>
      </c>
      <c r="G20" s="139">
        <f ca="1">ROUND(C20*$C$18+D20*$D$18,0)</f>
        <v>94739</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0.9388387685671582</v>
      </c>
      <c r="E22" s="129"/>
      <c r="F22" s="129"/>
      <c r="G22" s="129"/>
      <c r="H22" s="129"/>
      <c r="I22" s="129"/>
    </row>
    <row r="23" spans="1:36" ht="13.5" thickBot="1">
      <c r="A23" s="1747"/>
      <c r="B23" s="1747"/>
      <c r="C23" s="1747"/>
      <c r="D23" s="1747"/>
      <c r="E23" s="129"/>
      <c r="F23" s="3473" t="s">
        <v>3398</v>
      </c>
      <c r="G23" s="129"/>
      <c r="H23" s="129"/>
      <c r="I23" s="129"/>
    </row>
    <row r="24" spans="1:36" ht="14.25">
      <c r="A24" s="3582" t="s">
        <v>1297</v>
      </c>
      <c r="B24" s="1762" t="s">
        <v>1289</v>
      </c>
      <c r="C24" s="136">
        <f>IF(B30=0,0,D30)</f>
        <v>0</v>
      </c>
      <c r="D24" s="1769"/>
      <c r="E24" s="129"/>
      <c r="F24" s="129" t="s">
        <v>3396</v>
      </c>
      <c r="G24" s="129"/>
      <c r="H24" s="129"/>
      <c r="I24" s="129"/>
    </row>
    <row r="25" spans="1:36" ht="14.25">
      <c r="A25" s="3583"/>
      <c r="B25" s="1026" t="s">
        <v>1293</v>
      </c>
      <c r="C25" s="141">
        <f>IF(B30=0,0,C30)</f>
        <v>0</v>
      </c>
      <c r="D25" s="1770"/>
      <c r="E25" s="129"/>
      <c r="F25" s="129" t="s">
        <v>3397</v>
      </c>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94739</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02" t="s">
        <v>1310</v>
      </c>
      <c r="B36" s="1787" t="s">
        <v>1311</v>
      </c>
      <c r="C36" s="145"/>
      <c r="D36" s="1788"/>
      <c r="E36" s="1789"/>
      <c r="F36" s="1790"/>
      <c r="G36" s="129"/>
      <c r="H36" s="129"/>
      <c r="I36" s="129"/>
    </row>
    <row r="37" spans="1:15" ht="15.75" thickBot="1">
      <c r="A37" s="3603"/>
      <c r="B37" s="1674" t="s">
        <v>1312</v>
      </c>
      <c r="C37" s="147"/>
      <c r="D37" s="1139"/>
      <c r="E37" s="1139"/>
      <c r="F37" s="1790"/>
      <c r="G37" s="129"/>
      <c r="H37" s="129"/>
      <c r="I37" s="129"/>
    </row>
    <row r="38" spans="1:15" ht="15.75" thickBot="1">
      <c r="A38" s="3604"/>
      <c r="B38" s="1791" t="s">
        <v>1313</v>
      </c>
      <c r="C38" s="674"/>
      <c r="D38" s="1792" t="s">
        <v>1314</v>
      </c>
      <c r="E38" s="1139"/>
      <c r="F38" s="1790"/>
      <c r="G38" s="129"/>
      <c r="H38" s="129"/>
      <c r="I38" s="129"/>
    </row>
    <row r="39" spans="1:15" ht="15">
      <c r="A39" s="1764" t="s">
        <v>1315</v>
      </c>
      <c r="B39" s="1793" t="s">
        <v>1316</v>
      </c>
      <c r="C39" s="1794" t="s">
        <v>1317</v>
      </c>
      <c r="D39" s="1794" t="s">
        <v>1318</v>
      </c>
      <c r="E39" s="1795" t="s">
        <v>1319</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79" t="s">
        <v>1324</v>
      </c>
      <c r="B45" s="3580"/>
      <c r="C45" s="3581"/>
      <c r="D45" s="155" t="e">
        <f ca="1">ROUND(H101*F45,0)</f>
        <v>#REF!</v>
      </c>
      <c r="E45" s="156" t="s">
        <v>1325</v>
      </c>
      <c r="F45" s="157">
        <v>1</v>
      </c>
      <c r="G45" s="158" t="s">
        <v>1326</v>
      </c>
      <c r="H45" s="129"/>
      <c r="I45" s="129"/>
      <c r="J45" s="3657" t="s">
        <v>1327</v>
      </c>
      <c r="K45" s="3657"/>
      <c r="L45" s="3657"/>
      <c r="M45" s="3657"/>
      <c r="N45" s="3657"/>
      <c r="O45" s="3657"/>
    </row>
    <row r="46" spans="1:15" ht="14.25" customHeight="1">
      <c r="A46" s="3576" t="s">
        <v>1328</v>
      </c>
      <c r="B46" s="3577"/>
      <c r="C46" s="3577"/>
      <c r="D46" s="3577"/>
      <c r="E46" s="3577"/>
      <c r="F46" s="3577"/>
      <c r="G46" s="3578"/>
      <c r="H46" s="1806"/>
      <c r="I46" s="159"/>
      <c r="J46" s="2523">
        <v>1</v>
      </c>
      <c r="K46" s="3638" t="s">
        <v>1329</v>
      </c>
      <c r="L46" s="3638"/>
      <c r="M46" s="3658"/>
      <c r="N46" s="3658"/>
      <c r="O46" s="3658"/>
    </row>
    <row r="47" spans="1:15" ht="12" customHeight="1">
      <c r="A47" s="160" t="s">
        <v>1330</v>
      </c>
      <c r="B47" s="161"/>
      <c r="C47" s="162"/>
      <c r="D47" s="1087" t="s">
        <v>1331</v>
      </c>
      <c r="E47" s="302" t="s">
        <v>1332</v>
      </c>
      <c r="F47" s="163" t="s">
        <v>1333</v>
      </c>
      <c r="G47" s="2546" t="s">
        <v>1334</v>
      </c>
      <c r="H47" s="2547"/>
      <c r="I47" s="159"/>
      <c r="J47" s="2523">
        <v>2</v>
      </c>
      <c r="K47" s="3638" t="s">
        <v>1335</v>
      </c>
      <c r="L47" s="3638"/>
      <c r="M47" s="3659">
        <f>'数据-取费表'!B2</f>
        <v>45485</v>
      </c>
      <c r="N47" s="3659"/>
      <c r="O47" s="3659"/>
    </row>
    <row r="48" spans="1:15" ht="25.5">
      <c r="A48" s="3607" t="s">
        <v>1336</v>
      </c>
      <c r="B48" s="3590"/>
      <c r="C48" s="3590"/>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1337</v>
      </c>
      <c r="H48" s="2550"/>
      <c r="I48" s="1806"/>
      <c r="J48" s="2523">
        <v>3</v>
      </c>
      <c r="K48" s="3638" t="s">
        <v>1338</v>
      </c>
      <c r="L48" s="3638"/>
      <c r="M48" s="3660" t="e">
        <f ca="1">H101</f>
        <v>#REF!</v>
      </c>
      <c r="N48" s="3660"/>
      <c r="O48" s="3660"/>
    </row>
    <row r="49" spans="1:35" ht="25.5" customHeight="1">
      <c r="A49" s="2333" t="s">
        <v>1339</v>
      </c>
      <c r="B49" s="3574" t="s">
        <v>1340</v>
      </c>
      <c r="C49" s="3574"/>
      <c r="D49" s="1590">
        <v>0</v>
      </c>
      <c r="E49" s="324" t="s">
        <v>1341</v>
      </c>
      <c r="F49" s="2424" t="s">
        <v>28</v>
      </c>
      <c r="G49" s="3644"/>
      <c r="H49" s="2310" t="s">
        <v>2132</v>
      </c>
      <c r="I49" s="2311"/>
      <c r="J49" s="2523">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51"/>
      <c r="B50" s="3574" t="s">
        <v>1342</v>
      </c>
      <c r="C50" s="3574"/>
      <c r="D50" s="2552"/>
      <c r="E50" s="332"/>
      <c r="F50" s="2424"/>
      <c r="G50" s="3645"/>
      <c r="H50" s="2312" t="s">
        <v>2133</v>
      </c>
      <c r="I50" s="2311"/>
      <c r="J50" s="3657" t="s">
        <v>1343</v>
      </c>
      <c r="K50" s="3657"/>
      <c r="L50" s="3657"/>
      <c r="M50" s="3657"/>
      <c r="N50" s="3657"/>
      <c r="O50" s="3657"/>
    </row>
    <row r="51" spans="1:35" ht="20.45" customHeight="1">
      <c r="A51" s="2553"/>
      <c r="B51" s="3574" t="s">
        <v>1344</v>
      </c>
      <c r="C51" s="3574"/>
      <c r="D51" s="1087"/>
      <c r="E51" s="327"/>
      <c r="F51" s="2424"/>
      <c r="G51" s="3646"/>
      <c r="H51" s="2312" t="s">
        <v>2134</v>
      </c>
      <c r="I51" s="2311"/>
      <c r="J51" s="2524" t="s">
        <v>1345</v>
      </c>
      <c r="K51" s="3638" t="s">
        <v>1346</v>
      </c>
      <c r="L51" s="3638"/>
      <c r="M51" s="2524" t="s">
        <v>1347</v>
      </c>
      <c r="N51" s="2524" t="s">
        <v>1348</v>
      </c>
      <c r="O51" s="2524" t="s">
        <v>1349</v>
      </c>
    </row>
    <row r="52" spans="1:35" ht="24" customHeight="1">
      <c r="A52" s="2335" t="s">
        <v>1350</v>
      </c>
      <c r="B52" s="3574" t="s">
        <v>1351</v>
      </c>
      <c r="C52" s="3574"/>
      <c r="D52" s="1087" t="e">
        <f ca="1">ROUND(D45*'数据-取费表'!B41/(1+'数据-取费表'!C42),0)</f>
        <v>#REF!</v>
      </c>
      <c r="E52" s="2334" t="s">
        <v>1352</v>
      </c>
      <c r="F52" s="2554">
        <f>'数据-取费表'!B41</f>
        <v>5.6000000000000001E-2</v>
      </c>
      <c r="G52" s="2555"/>
      <c r="H52" s="2544"/>
      <c r="I52" s="1807"/>
      <c r="J52" s="2523">
        <v>1</v>
      </c>
      <c r="K52" s="3639" t="s">
        <v>1353</v>
      </c>
      <c r="L52" s="3639"/>
      <c r="M52" s="2525" t="b">
        <f>D48</f>
        <v>0</v>
      </c>
      <c r="N52" s="2523" t="str">
        <f>E48</f>
        <v>销售额×税（费）率</v>
      </c>
      <c r="O52" s="2526">
        <f>F48</f>
        <v>5.6000000000000001E-2</v>
      </c>
    </row>
    <row r="53" spans="1:35" ht="12" customHeight="1">
      <c r="A53" s="2335" t="s">
        <v>1354</v>
      </c>
      <c r="B53" s="3600" t="s">
        <v>2280</v>
      </c>
      <c r="C53" s="3601"/>
      <c r="D53" s="1087" t="e">
        <f ca="1">ROUND(D45*'数据-取费表'!B41/(1+'数据-取费表'!C42),0)</f>
        <v>#REF!</v>
      </c>
      <c r="E53" s="2334" t="s">
        <v>1352</v>
      </c>
      <c r="F53" s="2554">
        <f>'数据-取费表'!B41</f>
        <v>5.6000000000000001E-2</v>
      </c>
      <c r="G53" s="2555"/>
      <c r="H53" s="2544"/>
      <c r="I53" s="1807"/>
      <c r="J53" s="2523">
        <v>2</v>
      </c>
      <c r="K53" s="3639" t="s">
        <v>1355</v>
      </c>
      <c r="L53" s="3639"/>
      <c r="M53" s="2525" t="e">
        <f t="shared" ref="M53:O54" ca="1" si="0">D55</f>
        <v>#REF!</v>
      </c>
      <c r="N53" s="2523" t="str">
        <f t="shared" si="0"/>
        <v>销售额×税（费）率</v>
      </c>
      <c r="O53" s="2526" t="str">
        <f t="shared" si="0"/>
        <v>免征</v>
      </c>
    </row>
    <row r="54" spans="1:35" ht="12" customHeight="1">
      <c r="A54" s="2335" t="s">
        <v>1356</v>
      </c>
      <c r="B54" s="3600" t="s">
        <v>2281</v>
      </c>
      <c r="C54" s="3601"/>
      <c r="D54" s="1087" t="e">
        <f ca="1">C68</f>
        <v>#REF!</v>
      </c>
      <c r="E54" s="327" t="s">
        <v>1357</v>
      </c>
      <c r="F54" s="2554">
        <f>'数据-取费表'!B41</f>
        <v>5.6000000000000001E-2</v>
      </c>
      <c r="G54" s="2555"/>
      <c r="H54" s="2556"/>
      <c r="I54" s="1807"/>
      <c r="J54" s="2523">
        <v>3</v>
      </c>
      <c r="K54" s="3639" t="s">
        <v>1358</v>
      </c>
      <c r="L54" s="3639"/>
      <c r="M54" s="2525" t="e">
        <f t="shared" ca="1" si="0"/>
        <v>#REF!</v>
      </c>
      <c r="N54" s="2523" t="str">
        <f t="shared" si="0"/>
        <v>增值额×税（费）率</v>
      </c>
      <c r="O54" s="2527" t="str">
        <f t="shared" si="0"/>
        <v>免征</v>
      </c>
    </row>
    <row r="55" spans="1:35" ht="24" customHeight="1">
      <c r="A55" s="3589" t="s">
        <v>1359</v>
      </c>
      <c r="B55" s="3590"/>
      <c r="C55" s="3590"/>
      <c r="D55" s="2324" t="e">
        <f ca="1">IF(H55="个人住宅",0,ROUND(D45*I55,0))</f>
        <v>#REF!</v>
      </c>
      <c r="E55" s="2334" t="s">
        <v>1360</v>
      </c>
      <c r="F55" s="2554" t="str">
        <f>IF(H55="正常",I55,"免征")</f>
        <v>免征</v>
      </c>
      <c r="G55" s="2555"/>
      <c r="H55" s="2550"/>
      <c r="I55" s="165">
        <f>'数据-取费表'!B49</f>
        <v>5.0000000000000001E-4</v>
      </c>
      <c r="J55" s="2523">
        <f>IF(H59="非个人房产","",4)</f>
        <v>4</v>
      </c>
      <c r="K55" s="3639" t="str">
        <f>IF(H59="非个人房产","——","个人所得税")</f>
        <v>个人所得税</v>
      </c>
      <c r="L55" s="3639"/>
      <c r="M55" s="2528" t="e">
        <f ca="1">D59</f>
        <v>#REF!</v>
      </c>
      <c r="N55" s="2040" t="str">
        <f>E59</f>
        <v>差额计税</v>
      </c>
      <c r="O55" s="2529">
        <f>F59</f>
        <v>0.01</v>
      </c>
    </row>
    <row r="56" spans="1:35" ht="24.75">
      <c r="A56" s="3589" t="s">
        <v>1361</v>
      </c>
      <c r="B56" s="3590"/>
      <c r="C56" s="3590"/>
      <c r="D56" s="2324" t="e">
        <f ca="1">IF(H56="个人住宅",D57,D58)</f>
        <v>#REF!</v>
      </c>
      <c r="E56" s="2334" t="s">
        <v>1362</v>
      </c>
      <c r="F56" s="2554" t="str">
        <f>IF(H56="正常",F58,"免征")</f>
        <v>免征</v>
      </c>
      <c r="G56" s="2557" t="s">
        <v>1363</v>
      </c>
      <c r="H56" s="2558"/>
      <c r="I56" s="1808"/>
      <c r="J56" s="2523"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2.75">
      <c r="A57" s="2335" t="s">
        <v>1339</v>
      </c>
      <c r="B57" s="3600" t="s">
        <v>1364</v>
      </c>
      <c r="C57" s="3601"/>
      <c r="D57" s="1590">
        <v>0</v>
      </c>
      <c r="E57" s="324" t="s">
        <v>1341</v>
      </c>
      <c r="F57" s="302"/>
      <c r="G57" s="2555"/>
      <c r="H57" s="2559"/>
      <c r="I57" s="1808"/>
      <c r="J57" s="3639">
        <f>IF(AND(J55="",J56=""),4,IF(项目基本情况!K6="上海银行",'结果表-商业'!J56+1,'结果表-商业'!J55+1))</f>
        <v>5</v>
      </c>
      <c r="K57" s="3639" t="s">
        <v>1365</v>
      </c>
      <c r="L57" s="2530" t="s">
        <v>1366</v>
      </c>
      <c r="M57" s="2531"/>
      <c r="N57" s="2532">
        <f ca="1">SUMIF(M52:M56,"&lt;9e307")</f>
        <v>0</v>
      </c>
      <c r="O57" s="2533"/>
      <c r="P57" s="2690" t="e">
        <f ca="1">N57/M49</f>
        <v>#VALUE!</v>
      </c>
    </row>
    <row r="58" spans="1:35" ht="24.75">
      <c r="A58" s="2335" t="s">
        <v>1350</v>
      </c>
      <c r="B58" s="3600" t="s">
        <v>1367</v>
      </c>
      <c r="C58" s="3574"/>
      <c r="D58" s="2324" t="e">
        <f ca="1">IF(H58="转让取得",C81,C97)</f>
        <v>#REF!</v>
      </c>
      <c r="E58" s="2334" t="s">
        <v>1362</v>
      </c>
      <c r="F58" s="302" t="s">
        <v>28</v>
      </c>
      <c r="G58" s="2555"/>
      <c r="H58" s="2558"/>
      <c r="I58" s="1808"/>
      <c r="J58" s="3639"/>
      <c r="K58" s="3639"/>
      <c r="L58" s="2530" t="s">
        <v>1368</v>
      </c>
      <c r="M58" s="2534"/>
      <c r="N58" s="2535" t="str">
        <f ca="1">NUMBERSTRING(INT(N57*10000),2)&amp;"元整"</f>
        <v>零元整</v>
      </c>
      <c r="O58" s="2536"/>
    </row>
    <row r="59" spans="1:35" ht="24.75" thickBot="1">
      <c r="A59" s="3642" t="s">
        <v>1369</v>
      </c>
      <c r="B59" s="3643"/>
      <c r="C59" s="364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40">
        <f>J57+1</f>
        <v>6</v>
      </c>
      <c r="K59" s="3639" t="s">
        <v>1370</v>
      </c>
      <c r="L59" s="2523" t="s">
        <v>1366</v>
      </c>
      <c r="M59" s="2537"/>
      <c r="N59" s="2538" t="e">
        <f ca="1">M49-N57</f>
        <v>#VALUE!</v>
      </c>
      <c r="O59" s="2539"/>
    </row>
    <row r="60" spans="1:35" ht="12" customHeight="1">
      <c r="A60" s="1809"/>
      <c r="B60" s="1747"/>
      <c r="C60" s="1747"/>
      <c r="D60" s="1747"/>
      <c r="E60" s="1578"/>
      <c r="F60" s="1808"/>
      <c r="G60" s="1808"/>
      <c r="H60" s="1810"/>
      <c r="I60" s="129"/>
      <c r="J60" s="3641"/>
      <c r="K60" s="3639"/>
      <c r="L60" s="2530" t="s">
        <v>1368</v>
      </c>
      <c r="M60" s="2534"/>
      <c r="N60" s="2535" t="e">
        <f ca="1">NUMBERSTRING(INT(N59*10000),2)&amp;"元整"</f>
        <v>#VALUE!</v>
      </c>
      <c r="O60" s="2536"/>
    </row>
    <row r="61" spans="1:35" ht="13.5" thickBot="1">
      <c r="A61" s="3587" t="s">
        <v>1371</v>
      </c>
      <c r="B61" s="3587"/>
      <c r="C61" s="3587"/>
      <c r="D61" s="3587"/>
      <c r="E61" s="3587"/>
      <c r="F61" s="1808"/>
      <c r="G61" s="1808"/>
      <c r="H61" s="1810"/>
      <c r="I61" s="129"/>
      <c r="J61" s="2523">
        <f>J59+1</f>
        <v>7</v>
      </c>
      <c r="K61" s="3639" t="s">
        <v>1372</v>
      </c>
      <c r="L61" s="3639"/>
      <c r="M61" s="2540"/>
      <c r="N61" s="2541" t="e">
        <f ca="1">ROUND(N59*10000/'数据-汇总表'!E3,0)</f>
        <v>#VALUE!</v>
      </c>
      <c r="O61" s="2542"/>
    </row>
    <row r="62" spans="1:35" ht="12.75">
      <c r="A62" s="3605" t="s">
        <v>1373</v>
      </c>
      <c r="B62" s="3606"/>
      <c r="C62" s="2021"/>
      <c r="D62" s="2021" t="s">
        <v>1374</v>
      </c>
      <c r="E62" s="166" t="s">
        <v>1375</v>
      </c>
      <c r="F62" s="1808"/>
      <c r="G62" s="1808"/>
      <c r="H62" s="1810"/>
      <c r="I62" s="129"/>
    </row>
    <row r="63" spans="1:35" ht="12.75">
      <c r="A63" s="173" t="s">
        <v>330</v>
      </c>
      <c r="B63" s="167" t="s">
        <v>1376</v>
      </c>
      <c r="C63" s="2564" t="e">
        <f ca="1">ROUND((C64+C65)/(1+'数据-取费表'!C42),0)</f>
        <v>#REF!</v>
      </c>
      <c r="D63" s="167"/>
      <c r="E63" s="168"/>
      <c r="F63" s="1808"/>
      <c r="G63" s="1808"/>
      <c r="H63" s="1810"/>
      <c r="I63" s="129"/>
      <c r="J63" s="3664" t="s">
        <v>1377</v>
      </c>
      <c r="K63" s="1332" t="s">
        <v>1378</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1379</v>
      </c>
      <c r="C64" s="2565" t="e">
        <f ca="1">D45</f>
        <v>#REF!</v>
      </c>
      <c r="D64" s="170" t="s">
        <v>26</v>
      </c>
      <c r="E64" s="172"/>
      <c r="F64" s="1808"/>
      <c r="G64" s="1808"/>
      <c r="H64" s="1810"/>
      <c r="I64" s="129"/>
      <c r="J64" s="3664"/>
      <c r="K64" s="1332" t="s">
        <v>1380</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1381</v>
      </c>
      <c r="Z64" s="1752"/>
      <c r="AI64" s="1753"/>
    </row>
    <row r="65" spans="1:35" ht="14.25" customHeight="1">
      <c r="A65" s="169" t="s">
        <v>326</v>
      </c>
      <c r="B65" s="170" t="s">
        <v>1382</v>
      </c>
      <c r="C65" s="2566"/>
      <c r="D65" s="170"/>
      <c r="E65" s="172"/>
      <c r="F65" s="1808"/>
      <c r="G65" s="1808"/>
      <c r="H65" s="1810"/>
      <c r="I65" s="129"/>
      <c r="J65" s="3664"/>
      <c r="K65" s="1332" t="s">
        <v>1383</v>
      </c>
      <c r="L65" s="1332" t="e">
        <f>IF(M49&gt;1000,M49*0.1%,IF(AND(M49&gt;500,M49&lt;=1000),M49*0.5%,IF(AND(M49&gt;50,M49&lt;=500),M49*1%,IF(AND(M49&gt;1,M49&lt;=50),M49*1.5%))))</f>
        <v>#VALUE!</v>
      </c>
      <c r="M65" s="302" t="e">
        <f t="shared" si="1"/>
        <v>#VALUE!</v>
      </c>
      <c r="N65" s="2544" t="s">
        <v>1381</v>
      </c>
      <c r="Z65" s="1752"/>
      <c r="AI65" s="1753"/>
    </row>
    <row r="66" spans="1:35" ht="14.25" customHeight="1">
      <c r="A66" s="173" t="s">
        <v>327</v>
      </c>
      <c r="B66" s="174" t="s">
        <v>1384</v>
      </c>
      <c r="C66" s="2567"/>
      <c r="D66" s="174" t="s">
        <v>26</v>
      </c>
      <c r="E66" s="1338" t="s">
        <v>669</v>
      </c>
      <c r="F66" s="1808"/>
      <c r="G66" s="1808"/>
      <c r="H66" s="1810"/>
      <c r="I66" s="129"/>
      <c r="J66" s="3664"/>
      <c r="K66" s="1332" t="s">
        <v>1385</v>
      </c>
      <c r="L66" s="1332" t="e">
        <f>M49*0.5%</f>
        <v>#VALUE!</v>
      </c>
      <c r="M66" s="302" t="e">
        <f>IF(L66&gt;0.5,0.5,ROUND(L66,0))</f>
        <v>#VALUE!</v>
      </c>
      <c r="N66" s="2544" t="s">
        <v>1386</v>
      </c>
      <c r="Z66" s="1752"/>
      <c r="AI66" s="1753"/>
    </row>
    <row r="67" spans="1:35" ht="14.25" customHeight="1">
      <c r="A67" s="173" t="s">
        <v>328</v>
      </c>
      <c r="B67" s="174" t="s">
        <v>1387</v>
      </c>
      <c r="C67" s="2568" t="e">
        <f ca="1">C63-C66</f>
        <v>#REF!</v>
      </c>
      <c r="D67" s="170" t="s">
        <v>26</v>
      </c>
      <c r="E67" s="172"/>
      <c r="F67" s="1808"/>
      <c r="G67" s="1808"/>
      <c r="H67" s="1810"/>
      <c r="I67" s="129"/>
      <c r="J67" s="3664"/>
      <c r="K67" s="1332" t="s">
        <v>1388</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1389</v>
      </c>
      <c r="C68" s="2569" t="e">
        <f ca="1">IF(C67&lt;=0,0,ROUND(C67*D68,0))</f>
        <v>#REF!</v>
      </c>
      <c r="D68" s="2570">
        <f>'数据-取费表'!B41</f>
        <v>5.6000000000000001E-2</v>
      </c>
      <c r="E68" s="178"/>
      <c r="F68" s="1808"/>
      <c r="G68" s="1808"/>
      <c r="H68" s="1810"/>
      <c r="I68" s="129"/>
      <c r="J68" s="3664"/>
      <c r="K68" s="1332" t="s">
        <v>1390</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4"/>
      <c r="K69" s="1332" t="s">
        <v>1391</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1392</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1373</v>
      </c>
      <c r="B71" s="3606"/>
      <c r="C71" s="2021"/>
      <c r="D71" s="2021"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00" t="s">
        <v>1400</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2324" t="s">
        <v>1402</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t="e">
        <f ca="1">ROUND(D45*D78/(1+'数据-取费表'!C42),0)</f>
        <v>#REF!</v>
      </c>
      <c r="D78" s="2577">
        <f>'数据-取费表'!B43</f>
        <v>6.000000000000001E-3</v>
      </c>
      <c r="E78" s="3584" t="s">
        <v>1404</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1405</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1408</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1373</v>
      </c>
      <c r="B84" s="3606"/>
      <c r="C84" s="2021"/>
      <c r="D84" s="2021"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2327"/>
      <c r="G88" s="194" t="s">
        <v>1412</v>
      </c>
      <c r="H88" s="1824"/>
      <c r="I88" s="1821"/>
      <c r="J88" s="2521" t="s">
        <v>2277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2327"/>
      <c r="G90" s="3666" t="s">
        <v>2127</v>
      </c>
      <c r="H90" s="3667"/>
      <c r="I90" s="1821"/>
      <c r="J90" s="2521" t="s">
        <v>2278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84" t="s">
        <v>1417</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84" t="s">
        <v>1420</v>
      </c>
      <c r="F92" s="3585"/>
      <c r="G92" s="3585"/>
      <c r="H92" s="3594"/>
      <c r="I92" s="1821"/>
      <c r="J92" s="2522" t="s">
        <v>2279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t="e">
        <f ca="1">ROUND(D45*D93/(1+'数据-取费表'!C42),0)</f>
        <v>#REF!</v>
      </c>
      <c r="D93" s="2577">
        <f>'数据-取费表'!B43</f>
        <v>6.000000000000001E-3</v>
      </c>
      <c r="E93" s="3584" t="s">
        <v>1404</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595" t="s">
        <v>1424</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1405</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68" t="s">
        <v>1426</v>
      </c>
      <c r="B100" s="3569"/>
      <c r="C100" s="3569"/>
      <c r="D100" s="3586"/>
      <c r="E100" s="3569" t="s">
        <v>1427</v>
      </c>
      <c r="F100" s="3569"/>
      <c r="G100" s="3569"/>
      <c r="H100" s="3586"/>
      <c r="I100" s="129"/>
    </row>
    <row r="101" spans="1:35" ht="18.75" customHeight="1">
      <c r="A101" s="3647" t="s">
        <v>1428</v>
      </c>
      <c r="B101" s="3648"/>
      <c r="C101" s="2585" t="str">
        <f>C4</f>
        <v>比较法-商业</v>
      </c>
      <c r="D101" s="2586" t="str">
        <f>D4</f>
        <v>商业收益法 (元)</v>
      </c>
      <c r="E101" s="3661" t="s">
        <v>1429</v>
      </c>
      <c r="F101" s="3618"/>
      <c r="G101" s="1827" t="s">
        <v>1430</v>
      </c>
      <c r="H101" s="2595" t="e">
        <f ca="1">H118</f>
        <v>#REF!</v>
      </c>
      <c r="I101" s="129"/>
    </row>
    <row r="102" spans="1:35" ht="18.75" customHeight="1">
      <c r="A102" s="3620" t="s">
        <v>1431</v>
      </c>
      <c r="B102" s="2584" t="s">
        <v>1430</v>
      </c>
      <c r="C102" s="2585">
        <f ca="1">IF(D32="楼面单价",ROUND(C19,0),C19)</f>
        <v>1235.3634999999999</v>
      </c>
      <c r="D102" s="2586">
        <f ca="1">IF(D32="楼面单价",ROUND(D19,0),D19)</f>
        <v>637.16669999999999</v>
      </c>
      <c r="E102" s="3661"/>
      <c r="F102" s="3618"/>
      <c r="G102" s="1827" t="s">
        <v>1432</v>
      </c>
      <c r="H102" s="2555" t="e">
        <f ca="1">I118</f>
        <v>#REF!</v>
      </c>
      <c r="I102" s="129"/>
    </row>
    <row r="103" spans="1:35" ht="42.75" customHeight="1">
      <c r="A103" s="3620"/>
      <c r="B103" s="2584" t="s">
        <v>1432</v>
      </c>
      <c r="C103" s="2587">
        <f ca="1">C20</f>
        <v>117497</v>
      </c>
      <c r="D103" s="2588">
        <f ca="1">D20</f>
        <v>60602</v>
      </c>
      <c r="E103" s="3655" t="s">
        <v>1433</v>
      </c>
      <c r="F103" s="3656"/>
      <c r="G103" s="1828" t="s">
        <v>1434</v>
      </c>
      <c r="H103" s="2595">
        <f>IF(D36="正常操作",H104+H105+H106,H105+H106)</f>
        <v>0</v>
      </c>
      <c r="I103" s="129"/>
    </row>
    <row r="104" spans="1:35" ht="18.75" customHeight="1">
      <c r="A104" s="3620" t="s">
        <v>1435</v>
      </c>
      <c r="B104" s="2589" t="s">
        <v>1430</v>
      </c>
      <c r="C104" s="2590" t="e">
        <f ca="1">H118</f>
        <v>#REF!</v>
      </c>
      <c r="D104" s="2591"/>
      <c r="E104" s="1674" t="s">
        <v>1436</v>
      </c>
      <c r="F104" s="1666"/>
      <c r="G104" s="1828" t="s">
        <v>1434</v>
      </c>
      <c r="H104" s="2596">
        <f>IF(D36="同一抵押权人同一抵押物续贷",C36&amp;"（续贷，未扣减，详见特别提示）",C36)</f>
        <v>0</v>
      </c>
      <c r="I104" s="129"/>
    </row>
    <row r="105" spans="1:35" ht="18.75" customHeight="1" thickBot="1">
      <c r="A105" s="3621"/>
      <c r="B105" s="2592" t="s">
        <v>1432</v>
      </c>
      <c r="C105" s="2593" t="e">
        <f ca="1">I118</f>
        <v>#REF!</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17" t="str">
        <f>IF(项目基本情况!E8="已注销","——","3.房地产抵押价值")</f>
        <v>3.房地产抵押价值</v>
      </c>
      <c r="F107" s="3618"/>
      <c r="G107" s="1827" t="s">
        <v>1430</v>
      </c>
      <c r="H107" s="2595" t="e">
        <f ca="1">IF(E107="——","——",H101-H103)</f>
        <v>#REF!</v>
      </c>
      <c r="I107" s="129"/>
    </row>
    <row r="108" spans="1:35" ht="18.75" customHeight="1">
      <c r="A108" s="129"/>
      <c r="B108" s="129"/>
      <c r="C108" s="129"/>
      <c r="D108" s="129"/>
      <c r="E108" s="3617"/>
      <c r="F108" s="3618"/>
      <c r="G108" s="1827" t="s">
        <v>1432</v>
      </c>
      <c r="H108" s="2555">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1430</v>
      </c>
      <c r="H109" s="2598" t="str">
        <f>IF(E109="——","——",H101-H105-H106)</f>
        <v>——</v>
      </c>
      <c r="I109" s="129"/>
    </row>
    <row r="110" spans="1:35" ht="18.75" customHeight="1">
      <c r="A110" s="129"/>
      <c r="B110" s="129"/>
      <c r="C110" s="129"/>
      <c r="D110" s="129"/>
      <c r="E110" s="3617"/>
      <c r="F110" s="3618"/>
      <c r="G110" s="1827" t="s">
        <v>1432</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1430</v>
      </c>
      <c r="H111" s="2595" t="str">
        <f>IF(E111="——","——",N59)</f>
        <v>——</v>
      </c>
      <c r="I111" s="129"/>
    </row>
    <row r="112" spans="1:35" ht="18.75" customHeight="1" thickBot="1">
      <c r="A112" s="129"/>
      <c r="B112" s="129"/>
      <c r="C112" s="129"/>
      <c r="D112" s="129"/>
      <c r="E112" s="3650"/>
      <c r="F112" s="3651"/>
      <c r="G112" s="1830" t="s">
        <v>1432</v>
      </c>
      <c r="H112" s="2599" t="str">
        <f>IF(E111="——","——",N61)</f>
        <v>——</v>
      </c>
      <c r="I112" s="129"/>
    </row>
    <row r="113" spans="1:27" ht="18.75" customHeight="1">
      <c r="A113" s="129"/>
      <c r="B113" s="129"/>
      <c r="C113" s="129"/>
      <c r="D113" s="129"/>
      <c r="E113" s="3622" t="s">
        <v>1438</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1440</v>
      </c>
      <c r="B115" s="3633"/>
      <c r="C115" s="3633"/>
      <c r="D115" s="3633"/>
      <c r="E115" s="3633"/>
      <c r="F115" s="3633"/>
      <c r="G115" s="3633"/>
      <c r="H115" s="3633"/>
      <c r="I115" s="3634"/>
    </row>
    <row r="116" spans="1:27" ht="27" customHeight="1">
      <c r="A116" s="3588" t="s">
        <v>1441</v>
      </c>
      <c r="B116" s="3623" t="s">
        <v>1442</v>
      </c>
      <c r="C116" s="3623" t="s">
        <v>1443</v>
      </c>
      <c r="D116" s="3636" t="s">
        <v>1444</v>
      </c>
      <c r="E116" s="3637"/>
      <c r="F116" s="3631" t="s">
        <v>1445</v>
      </c>
      <c r="G116" s="3631"/>
      <c r="H116" s="3588" t="s">
        <v>1446</v>
      </c>
      <c r="I116" s="3588"/>
    </row>
    <row r="117" spans="1:27" ht="18.75" customHeight="1">
      <c r="A117" s="3588"/>
      <c r="B117" s="3624"/>
      <c r="C117" s="3624"/>
      <c r="D117" s="2329" t="s">
        <v>1447</v>
      </c>
      <c r="E117" s="2329" t="s">
        <v>1448</v>
      </c>
      <c r="F117" s="2329" t="s">
        <v>1447</v>
      </c>
      <c r="G117" s="2329" t="s">
        <v>1449</v>
      </c>
      <c r="H117" s="2329" t="s">
        <v>1447</v>
      </c>
      <c r="I117" s="2329" t="s">
        <v>1449</v>
      </c>
    </row>
    <row r="118" spans="1:27" ht="24.75" customHeight="1">
      <c r="A118" s="2600" t="str">
        <f>项目基本情况!S2</f>
        <v>北京市房地产</v>
      </c>
      <c r="B118" s="2329">
        <f>M18</f>
        <v>778.02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8" t="s">
        <v>1450</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1450</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t="e">
        <f ca="1">H107</f>
        <v>#REF!</v>
      </c>
      <c r="E122" s="3653"/>
      <c r="F122" s="3653"/>
      <c r="G122" s="3653"/>
      <c r="H122" s="3653"/>
      <c r="I122" s="3654"/>
      <c r="AA122" s="725"/>
    </row>
    <row r="123" spans="1:27" ht="18.75" customHeight="1">
      <c r="A123" s="3588" t="s">
        <v>1450</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1450</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1450</v>
      </c>
      <c r="B127" s="3588"/>
      <c r="C127" s="3588"/>
      <c r="D127" s="3628" t="e">
        <f>NUMBERSTRING(INT(D126*10000),2)&amp;"元整"</f>
        <v>#VALUE!</v>
      </c>
      <c r="E127" s="3629"/>
      <c r="F127" s="3629"/>
      <c r="G127" s="3629"/>
      <c r="H127" s="3629"/>
      <c r="I127" s="3630"/>
      <c r="AA127" s="725"/>
    </row>
    <row r="128" spans="1:27" ht="21.75" customHeight="1">
      <c r="A128" s="3635" t="s">
        <v>1451</v>
      </c>
      <c r="B128" s="3635"/>
      <c r="C128" s="3635"/>
      <c r="D128" s="3635"/>
      <c r="E128" s="3635"/>
      <c r="F128" s="3635"/>
      <c r="G128" s="3635"/>
      <c r="H128" s="3635"/>
      <c r="I128" s="363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7" priority="21" stopIfTrue="1" operator="equal">
      <formula>25</formula>
    </cfRule>
  </conditionalFormatting>
  <conditionalFormatting sqref="C8:C9">
    <cfRule type="cellIs" dxfId="196" priority="19" stopIfTrue="1" operator="equal">
      <formula>15</formula>
    </cfRule>
  </conditionalFormatting>
  <conditionalFormatting sqref="C14:C16">
    <cfRule type="cellIs" dxfId="195" priority="13" stopIfTrue="1" operator="equal">
      <formula>30</formula>
    </cfRule>
  </conditionalFormatting>
  <conditionalFormatting sqref="D5:D7">
    <cfRule type="cellIs" dxfId="194" priority="10" stopIfTrue="1" operator="equal">
      <formula>25</formula>
    </cfRule>
  </conditionalFormatting>
  <conditionalFormatting sqref="D8:D9">
    <cfRule type="cellIs" dxfId="193" priority="9" stopIfTrue="1" operator="equal">
      <formula>15</formula>
    </cfRule>
  </conditionalFormatting>
  <conditionalFormatting sqref="C10:D13">
    <cfRule type="cellIs" dxfId="192" priority="8" stopIfTrue="1" operator="equal">
      <formula>15</formula>
    </cfRule>
  </conditionalFormatting>
  <conditionalFormatting sqref="D14:D16">
    <cfRule type="cellIs" dxfId="191" priority="6" stopIfTrue="1" operator="equal">
      <formula>30</formula>
    </cfRule>
  </conditionalFormatting>
  <conditionalFormatting sqref="C90">
    <cfRule type="expression" dxfId="190" priority="3" stopIfTrue="1">
      <formula>$H$88&lt;&gt;"仅含出让金"</formula>
    </cfRule>
  </conditionalFormatting>
  <conditionalFormatting sqref="C91">
    <cfRule type="expression" dxfId="189" priority="2" stopIfTrue="1">
      <formula>$H$91="由企业提供"</formula>
    </cfRule>
  </conditionalFormatting>
  <conditionalFormatting sqref="E36">
    <cfRule type="expression" dxfId="18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1592</v>
      </c>
      <c r="B1" s="1191"/>
      <c r="C1" s="1192"/>
      <c r="D1" s="1190"/>
      <c r="E1" s="2806"/>
      <c r="F1" s="2806"/>
      <c r="G1" s="2671"/>
      <c r="H1" s="2806"/>
      <c r="I1" s="2806"/>
      <c r="J1" s="2806"/>
      <c r="K1" s="2807">
        <f>MATCH(C1,'数据-取费表'!A6:A16,0)+5</f>
        <v>8</v>
      </c>
    </row>
    <row r="2" spans="1:33" ht="18" customHeight="1">
      <c r="A2" s="201" t="s">
        <v>1460</v>
      </c>
      <c r="B2" s="204">
        <f ca="1">C32</f>
        <v>0</v>
      </c>
      <c r="C2" s="276" t="s">
        <v>1593</v>
      </c>
      <c r="D2" s="276"/>
      <c r="E2" s="2806"/>
      <c r="F2" s="2806"/>
      <c r="G2" s="2806"/>
      <c r="H2" s="2806"/>
      <c r="I2" s="2806"/>
      <c r="J2" s="2806"/>
      <c r="K2" s="2806"/>
    </row>
    <row r="3" spans="1:33" ht="18" customHeight="1" thickBot="1">
      <c r="A3" s="203" t="s">
        <v>1462</v>
      </c>
      <c r="B3" s="204">
        <f ca="1">ROUND(B2*10000/IF(C1="",'数据-汇总表'!E3,INDIRECT("'数据-取费表'!K"&amp;$K$1)),0)</f>
        <v>0</v>
      </c>
      <c r="C3" s="276" t="s">
        <v>1594</v>
      </c>
      <c r="D3" s="276"/>
      <c r="E3" s="2806"/>
      <c r="F3" s="2806"/>
      <c r="G3" s="2806"/>
      <c r="H3" s="2806"/>
      <c r="I3" s="2806"/>
      <c r="J3" s="2806"/>
      <c r="K3" s="2806"/>
    </row>
    <row r="4" spans="1:33" s="785" customFormat="1" ht="16.5" customHeight="1">
      <c r="A4" s="782" t="s">
        <v>1595</v>
      </c>
      <c r="B4" s="783"/>
      <c r="C4" s="824">
        <f>SUM(C8:K8)</f>
        <v>0</v>
      </c>
      <c r="D4" s="783"/>
      <c r="E4" s="783"/>
      <c r="F4" s="783"/>
      <c r="G4" s="783"/>
      <c r="H4" s="783"/>
      <c r="I4" s="783"/>
      <c r="J4" s="783"/>
      <c r="K4" s="784"/>
    </row>
    <row r="5" spans="1:33" s="789" customFormat="1" ht="15">
      <c r="A5" s="786" t="s">
        <v>1596</v>
      </c>
      <c r="B5" s="787" t="s">
        <v>1597</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1598</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1601</v>
      </c>
      <c r="B8" s="164" t="s">
        <v>1602</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1603</v>
      </c>
      <c r="B9" s="783"/>
      <c r="C9" s="783"/>
      <c r="D9" s="783"/>
      <c r="E9" s="783"/>
      <c r="F9" s="783"/>
      <c r="G9" s="783"/>
      <c r="H9" s="783"/>
      <c r="I9" s="783"/>
      <c r="J9" s="783"/>
      <c r="K9" s="784"/>
    </row>
    <row r="10" spans="1:33" s="799" customFormat="1" ht="13.5" customHeight="1">
      <c r="A10" s="786" t="s">
        <v>1604</v>
      </c>
      <c r="B10" s="5" t="s">
        <v>1605</v>
      </c>
      <c r="C10" s="795" t="s">
        <v>1606</v>
      </c>
      <c r="D10" s="796" t="s">
        <v>1607</v>
      </c>
      <c r="E10" s="796" t="s">
        <v>1608</v>
      </c>
      <c r="F10" s="796" t="s">
        <v>1609</v>
      </c>
      <c r="G10" s="5"/>
      <c r="H10" s="797"/>
      <c r="I10" s="797"/>
      <c r="J10" s="797"/>
      <c r="K10" s="798"/>
    </row>
    <row r="11" spans="1:33" s="803" customFormat="1" ht="13.5" customHeight="1">
      <c r="A11" s="800" t="s">
        <v>635</v>
      </c>
      <c r="B11" s="801" t="s">
        <v>1610</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1611</v>
      </c>
      <c r="C12" s="21">
        <f ca="1">ROUND(C11*F12,0)</f>
        <v>0</v>
      </c>
      <c r="D12" s="802"/>
      <c r="E12" s="329"/>
      <c r="F12" s="812">
        <f>'数据-取费表'!B33</f>
        <v>0.05</v>
      </c>
      <c r="G12" s="5" t="s">
        <v>1612</v>
      </c>
      <c r="H12" s="797"/>
      <c r="I12" s="797"/>
      <c r="J12" s="797"/>
      <c r="K12" s="798"/>
    </row>
    <row r="13" spans="1:33" s="803" customFormat="1" ht="13.5" customHeight="1">
      <c r="A13" s="800" t="s">
        <v>637</v>
      </c>
      <c r="B13" s="801" t="s">
        <v>1613</v>
      </c>
      <c r="C13" s="21">
        <f ca="1">ROUND(IF(C1="",SUMIF('数据-取费表'!C:C,"住宅",'数据-取费表'!P:P)*F13,IF(INDIRECT("'数据-取费表'!c"&amp;$K$1)="住宅",INDIRECT("'数据-取费表'!P"&amp;$K$1)*F13,0)),0)</f>
        <v>0</v>
      </c>
      <c r="D13" s="846"/>
      <c r="E13" s="329"/>
      <c r="F13" s="812">
        <f>'数据-取费表'!B34</f>
        <v>0</v>
      </c>
      <c r="G13" s="5" t="s">
        <v>1614</v>
      </c>
      <c r="H13" s="797"/>
      <c r="I13" s="797"/>
      <c r="J13" s="797"/>
      <c r="K13" s="798"/>
    </row>
    <row r="14" spans="1:33" s="805" customFormat="1" ht="13.5" customHeight="1">
      <c r="A14" s="800" t="s">
        <v>638</v>
      </c>
      <c r="B14" s="801" t="s">
        <v>1615</v>
      </c>
      <c r="C14" s="21">
        <f ca="1">ROUND(D14*E14*F11/10000,0)</f>
        <v>0</v>
      </c>
      <c r="D14" s="846">
        <f ca="1">IF(C1="",'数据-汇总表'!E3,INDIRECT("'数据-取费表'!K"&amp;$K$1)+INDIRECT("'数据-取费表'!S"&amp;$K$1))</f>
        <v>778.02</v>
      </c>
      <c r="E14" s="21">
        <f>'数据-取费表'!B35</f>
        <v>200</v>
      </c>
      <c r="F14" s="804"/>
      <c r="G14" s="5" t="s">
        <v>1616</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1617</v>
      </c>
      <c r="C15" s="811">
        <f ca="1">ROUND(C11*F15,0)</f>
        <v>0</v>
      </c>
      <c r="D15" s="806"/>
      <c r="E15" s="811"/>
      <c r="F15" s="812">
        <f>'数据-取费表'!B36</f>
        <v>1.4999999999999999E-2</v>
      </c>
      <c r="G15" s="131" t="s">
        <v>1618</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1619</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1620</v>
      </c>
      <c r="C17" s="21">
        <f ca="1">ROUND(D17*E17/10000,0)</f>
        <v>0</v>
      </c>
      <c r="D17" s="846">
        <f ca="1">D14</f>
        <v>778.02</v>
      </c>
      <c r="E17" s="21">
        <f>'数据-取费表'!B32</f>
        <v>0</v>
      </c>
      <c r="F17" s="806"/>
      <c r="G17" s="131" t="s">
        <v>1621</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1622</v>
      </c>
      <c r="C18" s="21">
        <f ca="1">C19+C20-IF(C1="",'数据-取费表'!B29,IF(G18="已全部缴纳",C19+C20,H18))</f>
        <v>0.43960000000000043</v>
      </c>
      <c r="D18" s="846"/>
      <c r="E18" s="21"/>
      <c r="F18" s="804"/>
      <c r="G18" s="1862"/>
      <c r="H18" s="1187"/>
      <c r="I18" s="1863" t="s">
        <v>1623</v>
      </c>
      <c r="J18" s="807"/>
      <c r="K18" s="808"/>
    </row>
    <row r="19" spans="1:33" s="803" customFormat="1" ht="13.5" customHeight="1">
      <c r="A19" s="800" t="s">
        <v>360</v>
      </c>
      <c r="B19" s="801" t="s">
        <v>1624</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1625</v>
      </c>
      <c r="C20" s="21">
        <f ca="1">ROUND(D20*E20/10000,0)</f>
        <v>16</v>
      </c>
      <c r="D20" s="846">
        <f ca="1">IF(C1="",'数据-汇总表'!E6,IF(INDIRECT("'数据-取费表'!c"&amp;$K$1)="住宅",INDIRECT("'数据-取费表'!s"&amp;$K$1),INDIRECT("'数据-取费表'!k"&amp;$K$1)+INDIRECT("'数据-取费表'!s"&amp;$K$1)))</f>
        <v>778.02</v>
      </c>
      <c r="E20" s="21">
        <f>'数据-取费表'!B28</f>
        <v>200</v>
      </c>
      <c r="F20" s="804"/>
      <c r="G20" s="12"/>
      <c r="H20" s="809"/>
      <c r="I20" s="809"/>
      <c r="J20" s="809"/>
      <c r="K20" s="810"/>
    </row>
    <row r="21" spans="1:33" s="803" customFormat="1" ht="13.5" customHeight="1">
      <c r="A21" s="790" t="s">
        <v>357</v>
      </c>
      <c r="B21" s="813" t="s">
        <v>1626</v>
      </c>
      <c r="C21" s="814">
        <f ca="1">C16+C17+C18</f>
        <v>0.43960000000000043</v>
      </c>
      <c r="D21" s="815"/>
      <c r="E21" s="281"/>
      <c r="F21" s="281"/>
      <c r="G21" s="131" t="s">
        <v>1627</v>
      </c>
      <c r="H21" s="807"/>
      <c r="I21" s="807"/>
      <c r="J21" s="807"/>
      <c r="K21" s="808"/>
    </row>
    <row r="22" spans="1:33" s="803" customFormat="1" ht="13.5" customHeight="1">
      <c r="A22" s="790" t="s">
        <v>1599</v>
      </c>
      <c r="B22" s="813" t="s">
        <v>1628</v>
      </c>
      <c r="C22" s="814">
        <f ca="1">ROUND(C21*F22,0)</f>
        <v>0</v>
      </c>
      <c r="D22" s="281"/>
      <c r="E22" s="281"/>
      <c r="F22" s="816">
        <f>'数据-取费表'!B37</f>
        <v>0.03</v>
      </c>
      <c r="G22" s="5" t="s">
        <v>1629</v>
      </c>
      <c r="H22" s="797"/>
      <c r="I22" s="797"/>
      <c r="J22" s="797"/>
      <c r="K22" s="798"/>
    </row>
    <row r="23" spans="1:33" s="803" customFormat="1" ht="13.5" customHeight="1">
      <c r="A23" s="790" t="s">
        <v>1601</v>
      </c>
      <c r="B23" s="813" t="s">
        <v>1630</v>
      </c>
      <c r="C23" s="814">
        <f ca="1">ROUND(C4*F23*F11,0)</f>
        <v>0</v>
      </c>
      <c r="D23" s="281"/>
      <c r="E23" s="281"/>
      <c r="F23" s="816">
        <f>'数据-取费表'!B38</f>
        <v>0.03</v>
      </c>
      <c r="G23" s="5" t="s">
        <v>1631</v>
      </c>
      <c r="H23" s="797"/>
      <c r="I23" s="797"/>
      <c r="J23" s="797"/>
      <c r="K23" s="798"/>
    </row>
    <row r="24" spans="1:33" s="803" customFormat="1" ht="13.5" customHeight="1">
      <c r="A24" s="790" t="s">
        <v>1632</v>
      </c>
      <c r="B24" s="813" t="s">
        <v>1633</v>
      </c>
      <c r="C24" s="280">
        <f>ROUND(F24/(1+'数据-取费表'!C42),4)</f>
        <v>2.9000000000000001E-2</v>
      </c>
      <c r="D24" s="281" t="s">
        <v>12</v>
      </c>
      <c r="E24" s="281"/>
      <c r="F24" s="816">
        <f>IF(项目基本情况!B8="出让",0,'数据-取费表'!B48+'数据-取费表'!B49)</f>
        <v>3.0499999999999999E-2</v>
      </c>
      <c r="G24" s="5" t="s">
        <v>1634</v>
      </c>
      <c r="H24" s="818"/>
      <c r="I24" s="818"/>
      <c r="J24" s="818"/>
      <c r="K24" s="819"/>
    </row>
    <row r="25" spans="1:33" s="803" customFormat="1" ht="13.5" customHeight="1">
      <c r="A25" s="790" t="s">
        <v>1635</v>
      </c>
      <c r="B25" s="815" t="s">
        <v>1636</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1637</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1638</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1639</v>
      </c>
      <c r="B28" s="1865" t="s">
        <v>1640</v>
      </c>
      <c r="C28" s="287">
        <f ca="1">C30</f>
        <v>0</v>
      </c>
      <c r="D28" s="280">
        <f ca="1">C29</f>
        <v>0</v>
      </c>
      <c r="E28" s="282" t="s">
        <v>12</v>
      </c>
      <c r="F28" s="288">
        <f ca="1">IF(C1="",'数据-取费表'!Q16,INDIRECT("'数据-取费表'!q"&amp;$K$1))</f>
        <v>0.21</v>
      </c>
      <c r="G28" s="817"/>
      <c r="H28" s="818"/>
      <c r="I28" s="818"/>
      <c r="J28" s="818"/>
      <c r="K28" s="819"/>
    </row>
    <row r="29" spans="1:33" s="291" customFormat="1" ht="13.5" customHeight="1">
      <c r="A29" s="800" t="s">
        <v>358</v>
      </c>
      <c r="B29" s="822" t="s">
        <v>1641</v>
      </c>
      <c r="C29" s="284">
        <f ca="1">ROUND((1+C24)*F28*'数据-取费表'!B24/'数据-取费表'!B20,4)</f>
        <v>0</v>
      </c>
      <c r="D29" s="284"/>
      <c r="E29" s="285"/>
      <c r="F29" s="290"/>
      <c r="G29" s="131" t="s">
        <v>1642</v>
      </c>
      <c r="H29" s="807"/>
      <c r="I29" s="807"/>
      <c r="J29" s="807"/>
      <c r="K29" s="808"/>
    </row>
    <row r="30" spans="1:33" s="291" customFormat="1" ht="13.5" customHeight="1">
      <c r="A30" s="800" t="s">
        <v>359</v>
      </c>
      <c r="B30" s="822" t="s">
        <v>1643</v>
      </c>
      <c r="C30" s="292">
        <f ca="1">ROUND((C21+C22+C23)*F28,0)</f>
        <v>0</v>
      </c>
      <c r="D30" s="284"/>
      <c r="E30" s="285"/>
      <c r="F30" s="290"/>
      <c r="G30" s="131"/>
      <c r="H30" s="807"/>
      <c r="I30" s="807"/>
      <c r="J30" s="807"/>
      <c r="K30" s="808"/>
    </row>
    <row r="31" spans="1:33" s="803" customFormat="1" ht="13.5" customHeight="1" thickBot="1">
      <c r="A31" s="1866" t="s">
        <v>1644</v>
      </c>
      <c r="B31" s="833" t="s">
        <v>1645</v>
      </c>
      <c r="C31" s="834">
        <f>ROUND(C4*F31/(1+'数据-取费表'!C42),0)</f>
        <v>0</v>
      </c>
      <c r="D31" s="835"/>
      <c r="E31" s="836"/>
      <c r="F31" s="837">
        <f>'数据-取费表'!B41</f>
        <v>5.6000000000000001E-2</v>
      </c>
      <c r="G31" s="838" t="s">
        <v>1646</v>
      </c>
      <c r="H31" s="839"/>
      <c r="I31" s="839"/>
      <c r="J31" s="839"/>
      <c r="K31" s="840"/>
    </row>
    <row r="32" spans="1:33" s="799" customFormat="1" ht="13.5" customHeight="1" thickBot="1">
      <c r="A32" s="828" t="s">
        <v>1647</v>
      </c>
      <c r="B32" s="829"/>
      <c r="C32" s="830">
        <f ca="1">ROUND((C4-C21-C22-C23-C25-C28-C31)/(1+C24+D25+D28),0)</f>
        <v>0</v>
      </c>
      <c r="D32" s="829"/>
      <c r="E32" s="829"/>
      <c r="F32" s="829"/>
      <c r="G32" s="831" t="s">
        <v>1648</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c r="D1" s="1362" t="s">
        <v>43</v>
      </c>
      <c r="E1" s="1363" t="s">
        <v>676</v>
      </c>
      <c r="F1" s="1062">
        <f ca="1">J53</f>
        <v>0</v>
      </c>
      <c r="G1" s="1378">
        <f>MATCH(C1,'数据-取费表'!A6:A16,0)+5</f>
        <v>8</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1386" t="e">
        <f ca="1">C40+J29+L46</f>
        <v>#DIV/0!</v>
      </c>
      <c r="C2" s="1387" t="s">
        <v>803</v>
      </c>
      <c r="D2" s="1387"/>
      <c r="E2" s="1388"/>
      <c r="F2" s="1389"/>
      <c r="G2" s="2706"/>
      <c r="H2" s="2695"/>
      <c r="I2" s="2695"/>
      <c r="J2" s="2695"/>
      <c r="K2" s="2696"/>
      <c r="L2" s="2695"/>
      <c r="M2" s="2695"/>
    </row>
    <row r="3" spans="1:37" ht="18" customHeight="1" thickBot="1">
      <c r="A3" s="1390" t="s">
        <v>804</v>
      </c>
      <c r="B3" s="1391">
        <f ca="1">IF(ISERROR(B2*10000/F43),0,ROUND(B2*10000/F43,0))</f>
        <v>0</v>
      </c>
      <c r="C3" s="1387" t="s">
        <v>805</v>
      </c>
      <c r="D3" s="1387"/>
      <c r="E3" s="1388"/>
      <c r="F3" s="1389"/>
      <c r="G3" s="2706"/>
      <c r="H3" s="683" t="s">
        <v>874</v>
      </c>
      <c r="I3" s="1382"/>
      <c r="J3" s="1382"/>
      <c r="K3" s="1383"/>
      <c r="L3" s="1382"/>
      <c r="M3" s="1382"/>
    </row>
    <row r="4" spans="1:37" ht="18" customHeight="1">
      <c r="A4" s="295" t="s">
        <v>685</v>
      </c>
      <c r="B4" s="296" t="s">
        <v>686</v>
      </c>
      <c r="C4" s="296" t="s">
        <v>687</v>
      </c>
      <c r="D4" s="296" t="s">
        <v>688</v>
      </c>
      <c r="E4" s="297" t="s">
        <v>689</v>
      </c>
      <c r="F4" s="298"/>
      <c r="G4" s="1384"/>
      <c r="H4" s="295" t="s">
        <v>685</v>
      </c>
      <c r="I4" s="296" t="s">
        <v>686</v>
      </c>
      <c r="J4" s="296" t="s">
        <v>687</v>
      </c>
      <c r="K4" s="296" t="s">
        <v>688</v>
      </c>
      <c r="L4" s="297" t="s">
        <v>689</v>
      </c>
      <c r="M4" s="298"/>
    </row>
    <row r="5" spans="1:37" ht="18" customHeight="1">
      <c r="A5" s="299">
        <v>1</v>
      </c>
      <c r="B5" s="300" t="s">
        <v>690</v>
      </c>
      <c r="C5" s="1070">
        <f ca="1">C6+C10+C12</f>
        <v>0</v>
      </c>
      <c r="D5" s="1364" t="s">
        <v>691</v>
      </c>
      <c r="E5" s="1071"/>
      <c r="F5" s="1072"/>
      <c r="G5" s="1384"/>
      <c r="H5" s="299">
        <v>1</v>
      </c>
      <c r="I5" s="300" t="s">
        <v>690</v>
      </c>
      <c r="J5" s="1070">
        <f ca="1">J6+J10+J12</f>
        <v>0</v>
      </c>
      <c r="K5" s="1364" t="s">
        <v>691</v>
      </c>
      <c r="L5" s="1071"/>
      <c r="M5" s="1072"/>
    </row>
    <row r="6" spans="1:37" ht="18" customHeight="1">
      <c r="A6" s="1069" t="s">
        <v>398</v>
      </c>
      <c r="B6" s="3670" t="s">
        <v>692</v>
      </c>
      <c r="C6" s="1074">
        <f ca="1">ROUND(F6*F8*F7*(1-F9)/10000,0)</f>
        <v>0</v>
      </c>
      <c r="D6" s="155" t="s">
        <v>2107</v>
      </c>
      <c r="E6" s="302" t="s">
        <v>694</v>
      </c>
      <c r="F6" s="303">
        <f ca="1">INDIRECT("'数据-取费表'!u"&amp;$G$1)</f>
        <v>0</v>
      </c>
      <c r="G6" s="1384"/>
      <c r="H6" s="1069" t="s">
        <v>398</v>
      </c>
      <c r="I6" s="3670" t="s">
        <v>692</v>
      </c>
      <c r="J6" s="301">
        <f ca="1">ROUND(M6*M8*M7*(1-M9)/10000,0)</f>
        <v>0</v>
      </c>
      <c r="K6" s="155" t="s">
        <v>2106</v>
      </c>
      <c r="L6" s="302" t="s">
        <v>694</v>
      </c>
      <c r="M6" s="303">
        <f ca="1">INDIRECT("'数据-取费表'!z"&amp;$G$1)</f>
        <v>0</v>
      </c>
    </row>
    <row r="7" spans="1:37" ht="18" customHeight="1">
      <c r="A7" s="1073"/>
      <c r="B7" s="3671"/>
      <c r="C7" s="1075"/>
      <c r="D7" s="307"/>
      <c r="E7" s="1076" t="s">
        <v>695</v>
      </c>
      <c r="F7" s="303">
        <f ca="1">IF(INDIRECT("'数据-取费表'!ah"&amp;$G$1)="",INDIRECT("'数据-取费表'!k"&amp;$G$1),INDIRECT("'数据-取费表'!ah"&amp;$G$1))</f>
        <v>0</v>
      </c>
      <c r="G7" s="1384"/>
      <c r="H7" s="304"/>
      <c r="I7" s="3671"/>
      <c r="J7" s="306"/>
      <c r="K7" s="307"/>
      <c r="L7" s="302" t="s">
        <v>695</v>
      </c>
      <c r="M7" s="303">
        <f ca="1">F7</f>
        <v>0</v>
      </c>
    </row>
    <row r="8" spans="1:37" ht="18" customHeight="1">
      <c r="A8" s="304"/>
      <c r="B8" s="3671"/>
      <c r="C8" s="306"/>
      <c r="D8" s="307"/>
      <c r="E8" s="302" t="s">
        <v>696</v>
      </c>
      <c r="F8" s="303">
        <f ca="1">INDIRECT("'数据-取费表'!ai"&amp;$G$1)</f>
        <v>0</v>
      </c>
      <c r="G8" s="1384"/>
      <c r="H8" s="304"/>
      <c r="I8" s="3671"/>
      <c r="J8" s="306"/>
      <c r="K8" s="307"/>
      <c r="L8" s="302" t="s">
        <v>696</v>
      </c>
      <c r="M8" s="303">
        <f ca="1">INDIRECT("'数据-取费表'!ai"&amp;$G$1)</f>
        <v>0</v>
      </c>
    </row>
    <row r="9" spans="1:37" ht="18" customHeight="1">
      <c r="A9" s="304"/>
      <c r="B9" s="3672"/>
      <c r="C9" s="306"/>
      <c r="D9" s="307"/>
      <c r="E9" s="302" t="s">
        <v>697</v>
      </c>
      <c r="F9" s="312">
        <f ca="1">INDIRECT("'数据-取费表'!w"&amp;$G$1)</f>
        <v>0</v>
      </c>
      <c r="G9" s="1384"/>
      <c r="H9" s="304"/>
      <c r="I9" s="3672"/>
      <c r="J9" s="306"/>
      <c r="K9" s="307"/>
      <c r="L9" s="313" t="s">
        <v>697</v>
      </c>
      <c r="M9" s="314">
        <f ca="1">INDIRECT("'数据-取费表'!ab"&amp;$G$1)</f>
        <v>0</v>
      </c>
    </row>
    <row r="10" spans="1:37" ht="18" customHeight="1">
      <c r="A10" s="1069" t="s">
        <v>402</v>
      </c>
      <c r="B10" s="1365" t="s">
        <v>698</v>
      </c>
      <c r="C10" s="316">
        <f ca="1">ROUND(IF(F10="押一",C6/12*F11,IF(F10="押二",C6/12*2*F11,IF(F10="押三",C6/12*3*F11,C11*F11))),0)</f>
        <v>0</v>
      </c>
      <c r="D10" s="1366" t="s">
        <v>2115</v>
      </c>
      <c r="E10" s="313" t="s">
        <v>699</v>
      </c>
      <c r="F10" s="1116"/>
      <c r="G10" s="1384"/>
      <c r="H10" s="1069" t="s">
        <v>402</v>
      </c>
      <c r="I10" s="1365" t="s">
        <v>698</v>
      </c>
      <c r="J10" s="301">
        <f ca="1">ROUND(IF(M10="押一",J6/12*M11,IF(M10="押二",J6/12*2*M11,IF(M10="押三",J6/12*3*M11,J11*M11))),0)</f>
        <v>0</v>
      </c>
      <c r="K10" s="1366" t="s">
        <v>2114</v>
      </c>
      <c r="L10" s="313" t="s">
        <v>699</v>
      </c>
      <c r="M10" s="1116"/>
    </row>
    <row r="11" spans="1:37" ht="18" customHeight="1">
      <c r="A11" s="308"/>
      <c r="B11" s="1367" t="s">
        <v>677</v>
      </c>
      <c r="C11" s="959"/>
      <c r="D11" s="1368"/>
      <c r="E11" s="313" t="s">
        <v>700</v>
      </c>
      <c r="F11" s="314">
        <f ca="1">'数据-取费表'!B39</f>
        <v>1.4999999999999999E-2</v>
      </c>
      <c r="G11" s="1384"/>
      <c r="H11" s="1077"/>
      <c r="I11" s="1367" t="s">
        <v>677</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0</v>
      </c>
      <c r="D13" s="1081" t="s">
        <v>703</v>
      </c>
      <c r="E13" s="1081" t="s">
        <v>704</v>
      </c>
      <c r="F13" s="1082">
        <f ca="1">INDIRECT("'数据-取费表'!y"&amp;$G$1)</f>
        <v>0</v>
      </c>
      <c r="G13" s="1384"/>
      <c r="H13" s="1079">
        <v>2</v>
      </c>
      <c r="I13" s="1080" t="s">
        <v>702</v>
      </c>
      <c r="J13" s="1068">
        <f ca="1">ROUND(J14*J15,0)</f>
        <v>0</v>
      </c>
      <c r="K13" s="1087" t="s">
        <v>703</v>
      </c>
      <c r="L13" s="1392"/>
      <c r="M13" s="1393"/>
    </row>
    <row r="14" spans="1:37" ht="18" customHeight="1">
      <c r="A14" s="982" t="s">
        <v>397</v>
      </c>
      <c r="B14" s="302" t="s">
        <v>705</v>
      </c>
      <c r="C14" s="318">
        <f ca="1">INDIRECT("'数据-取费表'!m"&amp;$G$1)+INDIRECT("'数据-取费表'!t"&amp;$G$1)</f>
        <v>0</v>
      </c>
      <c r="D14" s="1345" t="s">
        <v>706</v>
      </c>
      <c r="E14" s="1342"/>
      <c r="F14" s="319"/>
      <c r="G14" s="1384"/>
      <c r="H14" s="982" t="s">
        <v>398</v>
      </c>
      <c r="I14" s="302" t="s">
        <v>707</v>
      </c>
      <c r="J14" s="21">
        <f ca="1">C29</f>
        <v>0</v>
      </c>
      <c r="K14" s="12"/>
      <c r="L14" s="807"/>
      <c r="M14" s="808"/>
    </row>
    <row r="15" spans="1:37" s="1397" customFormat="1" ht="18" customHeight="1" thickBot="1">
      <c r="A15" s="982" t="s">
        <v>399</v>
      </c>
      <c r="B15" s="302" t="s">
        <v>708</v>
      </c>
      <c r="C15" s="21">
        <f ca="1">ROUND(C14*F15,0)</f>
        <v>0</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ROUND(INDIRECT("'数据-取费表'!m"&amp;$G$1)*F16,0)</f>
        <v>0</v>
      </c>
      <c r="D16" s="302" t="s">
        <v>709</v>
      </c>
      <c r="E16" s="302" t="s">
        <v>710</v>
      </c>
      <c r="F16" s="322">
        <f ca="1">IF(INDIRECT("'数据-取费表'!c"&amp;$G$1)="住宅",'数据-取费表'!B34,0)</f>
        <v>0</v>
      </c>
      <c r="G16" s="1384"/>
      <c r="H16" s="1079" t="s">
        <v>393</v>
      </c>
      <c r="I16" s="1080" t="s">
        <v>712</v>
      </c>
      <c r="J16" s="310">
        <f ca="1">ROUND(J17+J22+J23+J24,0)</f>
        <v>0</v>
      </c>
      <c r="K16" s="1087" t="s">
        <v>713</v>
      </c>
      <c r="L16" s="1088"/>
      <c r="M16" s="1072"/>
    </row>
    <row r="17" spans="1:37" s="1397" customFormat="1" ht="18" customHeight="1">
      <c r="A17" s="982" t="s">
        <v>679</v>
      </c>
      <c r="B17" s="302" t="s">
        <v>714</v>
      </c>
      <c r="C17" s="21">
        <f ca="1">ROUND(F17*(F43+INDIRECT("'数据-取费表'!S"&amp;$G$1))/10000,0)</f>
        <v>0</v>
      </c>
      <c r="D17" s="302" t="s">
        <v>715</v>
      </c>
      <c r="E17" s="302" t="s">
        <v>716</v>
      </c>
      <c r="F17" s="23">
        <f>'数据-取费表'!B35</f>
        <v>200</v>
      </c>
      <c r="G17" s="1396"/>
      <c r="H17" s="982" t="s">
        <v>398</v>
      </c>
      <c r="I17" s="302" t="s">
        <v>717</v>
      </c>
      <c r="J17" s="2316">
        <f ca="1">ROUND(IF(AND(项目基本情况!B11="自然人",项目基本情况!B10="北京市"),J6*M17/(1+'数据-取费表'!C42),J18+J19+J20),2)</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0</v>
      </c>
      <c r="D18" s="302" t="s">
        <v>709</v>
      </c>
      <c r="E18" s="302" t="s">
        <v>710</v>
      </c>
      <c r="F18" s="322">
        <f>'数据-取费表'!B36</f>
        <v>1.4999999999999999E-2</v>
      </c>
      <c r="G18" s="1396"/>
      <c r="H18" s="982" t="s">
        <v>397</v>
      </c>
      <c r="I18" s="302" t="s">
        <v>721</v>
      </c>
      <c r="J18" s="21">
        <f ca="1">ROUND(J6*M18/(1+'数据-取费表'!C42),2)</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0</v>
      </c>
      <c r="D19" s="131" t="s">
        <v>724</v>
      </c>
      <c r="E19" s="1360"/>
      <c r="F19" s="23"/>
      <c r="G19" s="1384"/>
      <c r="H19" s="982" t="s">
        <v>399</v>
      </c>
      <c r="I19" s="302" t="s">
        <v>725</v>
      </c>
      <c r="J19" s="21">
        <f ca="1">IF(K19="按租金收入计税",ROUND(J6*M19/(1+'数据-取费表'!C42),2),ROUND(C29*M19*0.7,2))</f>
        <v>0</v>
      </c>
      <c r="K19" s="1370" t="s">
        <v>3329</v>
      </c>
      <c r="L19" s="302" t="s">
        <v>710</v>
      </c>
      <c r="M19" s="322">
        <f>IF(K19="按租金收入计税",'数据-取费表'!B51,'数据-取费表'!B50)</f>
        <v>0.12</v>
      </c>
    </row>
    <row r="20" spans="1:37" s="1397" customFormat="1" ht="18" customHeight="1">
      <c r="A20" s="982" t="s">
        <v>402</v>
      </c>
      <c r="B20" s="302" t="s">
        <v>726</v>
      </c>
      <c r="C20" s="21">
        <f ca="1">ROUND(C19*F20,0)</f>
        <v>0</v>
      </c>
      <c r="D20" s="323" t="s">
        <v>727</v>
      </c>
      <c r="E20" s="302" t="s">
        <v>710</v>
      </c>
      <c r="F20" s="322">
        <f>'数据-取费表'!B37</f>
        <v>0.03</v>
      </c>
      <c r="G20" s="1396"/>
      <c r="H20" s="982" t="s">
        <v>678</v>
      </c>
      <c r="I20" s="155" t="s">
        <v>728</v>
      </c>
      <c r="J20" s="22">
        <f ca="1">ROUND(M20*M21/10000,2)</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15</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ROUND(J14*M22,2)</f>
        <v>0</v>
      </c>
      <c r="K22" s="1344" t="s">
        <v>737</v>
      </c>
      <c r="L22" s="302" t="s">
        <v>710</v>
      </c>
      <c r="M22" s="328">
        <f ca="1">INDIRECT("'数据-取费表'!Ak"&amp;$G$1)</f>
        <v>0</v>
      </c>
    </row>
    <row r="23" spans="1:37" s="1397" customFormat="1" ht="18" customHeight="1">
      <c r="A23" s="982" t="s">
        <v>397</v>
      </c>
      <c r="B23" s="302" t="s">
        <v>738</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ROUND(J13*M23,2)</f>
        <v>0</v>
      </c>
      <c r="K23" s="1344" t="s">
        <v>741</v>
      </c>
      <c r="L23" s="302" t="s">
        <v>742</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1E-3</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ROUND(J5*M24,2)</f>
        <v>0</v>
      </c>
      <c r="K24" s="1092" t="s">
        <v>746</v>
      </c>
      <c r="L24" s="1090" t="s">
        <v>742</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747</v>
      </c>
      <c r="B25" s="302" t="s">
        <v>748</v>
      </c>
      <c r="C25" s="21"/>
      <c r="D25" s="131" t="s">
        <v>749</v>
      </c>
      <c r="E25" s="1360"/>
      <c r="F25" s="23"/>
      <c r="G25" s="1384"/>
      <c r="H25" s="1079" t="s">
        <v>394</v>
      </c>
      <c r="I25" s="1094" t="s">
        <v>750</v>
      </c>
      <c r="J25" s="310">
        <f ca="1">J5-J16</f>
        <v>0</v>
      </c>
      <c r="K25" s="1095" t="s">
        <v>751</v>
      </c>
      <c r="L25" s="1096"/>
      <c r="M25" s="1097"/>
    </row>
    <row r="26" spans="1:37">
      <c r="A26" s="982" t="s">
        <v>397</v>
      </c>
      <c r="B26" s="302" t="s">
        <v>752</v>
      </c>
      <c r="C26" s="21">
        <f ca="1">ROUND((C19+C20)*F26,0)</f>
        <v>0</v>
      </c>
      <c r="D26" s="323" t="s">
        <v>753</v>
      </c>
      <c r="E26" s="313" t="s">
        <v>754</v>
      </c>
      <c r="F26" s="312">
        <f ca="1">INDIRECT("'数据-取费表'!q"&amp;$G$1)</f>
        <v>0</v>
      </c>
      <c r="G26" s="1384"/>
      <c r="H26" s="299" t="s">
        <v>395</v>
      </c>
      <c r="I26" s="300" t="s">
        <v>755</v>
      </c>
      <c r="J26" s="301">
        <f ca="1">IF(J5&lt;&gt;0,ROUND(J25*(1-((1+M28)/(1+M26))^M27)/(M26-M28),0),0)</f>
        <v>0</v>
      </c>
      <c r="K26" s="324" t="s">
        <v>756</v>
      </c>
      <c r="L26" s="302" t="s">
        <v>757</v>
      </c>
      <c r="M26" s="312">
        <f ca="1">INDIRECT("'数据-取费表'!I"&amp;$G$1)</f>
        <v>0</v>
      </c>
    </row>
    <row r="27" spans="1:37" ht="18" customHeight="1">
      <c r="A27" s="982" t="s">
        <v>399</v>
      </c>
      <c r="B27" s="302" t="s">
        <v>758</v>
      </c>
      <c r="C27" s="21">
        <f ca="1">ROUND(F21*F26,4)</f>
        <v>0</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0</v>
      </c>
      <c r="D29" s="1092"/>
      <c r="E29" s="1090"/>
      <c r="F29" s="1093"/>
      <c r="G29" s="1396"/>
      <c r="H29" s="334" t="s">
        <v>396</v>
      </c>
      <c r="I29" s="335" t="s">
        <v>766</v>
      </c>
      <c r="J29" s="336">
        <f ca="1">ROUND(J26/(1+F40)^F41,0)</f>
        <v>0</v>
      </c>
      <c r="K29" s="337" t="s">
        <v>767</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0</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ROUND(IF(AND(项目基本情况!B11="自然人",项目基本情况!B10="北京市"),C6*F31/(1+'数据-取费表'!C42),C32+C33+C34),2)</f>
        <v>0</v>
      </c>
      <c r="D31" s="1345" t="s">
        <v>718</v>
      </c>
      <c r="E31" s="1344" t="s">
        <v>768</v>
      </c>
      <c r="F31" s="2315" t="str">
        <f>IF(项目基本情况!B11="企业","——",IF(M47="住宅",IF(F6*F7*F8/12/(1+'数据-取费表'!F30)&gt;100000,4%,2.5%),IF(F6*F7*F8/12/(1+'数据-取费表'!F30)&gt;100000,12%,7%)))</f>
        <v>——</v>
      </c>
      <c r="G31" s="1384"/>
      <c r="H31" s="2808" t="s">
        <v>2299</v>
      </c>
      <c r="I31" s="1398"/>
      <c r="J31" s="1399"/>
      <c r="K31" s="2475"/>
      <c r="L31" s="2698"/>
      <c r="M31" s="2699"/>
    </row>
    <row r="32" spans="1:37" ht="18" customHeight="1">
      <c r="A32" s="982" t="s">
        <v>397</v>
      </c>
      <c r="B32" s="302" t="s">
        <v>721</v>
      </c>
      <c r="C32" s="21">
        <f ca="1">IF(项目基本情况!B11="自然人","——",ROUND(C6*F32/(1+'数据-取费表'!C42),2))</f>
        <v>0</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IF(项目基本情况!B11="自然人","——",IF(D33="按租金收入计税",ROUND(C6*F33/(1+'数据-取费表'!C42),2),IF(D33="按房产原值计税",ROUND(C29*F33*0.7,2),INDIRECT("'数据-取费表'!Aj"&amp;$G$1))))</f>
        <v>0</v>
      </c>
      <c r="D33" s="1370" t="s">
        <v>3329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IF(项目基本情况!B11="自然人","——",ROUND(F34*F35/10000,2))</f>
        <v>0</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ROUND(C29*F36,2)</f>
        <v>0</v>
      </c>
      <c r="D36" s="1344" t="s">
        <v>769</v>
      </c>
      <c r="E36" s="302" t="s">
        <v>710</v>
      </c>
      <c r="F36" s="328">
        <f ca="1">INDIRECT("'数据-取费表'!Ak"&amp;$G$1)</f>
        <v>0</v>
      </c>
      <c r="G36" s="1384"/>
      <c r="H36" s="2700"/>
      <c r="I36" s="1398"/>
      <c r="J36" s="1399"/>
      <c r="K36" s="2544"/>
      <c r="L36" s="2700"/>
      <c r="M36" s="2700"/>
    </row>
    <row r="37" spans="1:18" ht="18" customHeight="1">
      <c r="A37" s="982" t="s">
        <v>437</v>
      </c>
      <c r="B37" s="302" t="s">
        <v>740</v>
      </c>
      <c r="C37" s="21">
        <f ca="1">ROUND(C13*F37,2)</f>
        <v>0</v>
      </c>
      <c r="D37" s="1344" t="s">
        <v>741</v>
      </c>
      <c r="E37" s="302" t="s">
        <v>742</v>
      </c>
      <c r="F37" s="330">
        <f ca="1">INDIRECT("'数据-取费表'!Al"&amp;$G$1)</f>
        <v>0</v>
      </c>
      <c r="G37" s="1384"/>
      <c r="H37" s="2700"/>
      <c r="I37" s="1398"/>
      <c r="J37" s="1399"/>
      <c r="K37" s="2544"/>
      <c r="L37" s="2700"/>
      <c r="M37" s="2700"/>
    </row>
    <row r="38" spans="1:18" ht="18" customHeight="1" thickBot="1">
      <c r="A38" s="1089" t="s">
        <v>682</v>
      </c>
      <c r="B38" s="1090" t="s">
        <v>726</v>
      </c>
      <c r="C38" s="1091">
        <f ca="1">ROUND(C5*F38,2)</f>
        <v>0</v>
      </c>
      <c r="D38" s="1092" t="s">
        <v>746</v>
      </c>
      <c r="E38" s="1090" t="s">
        <v>742</v>
      </c>
      <c r="F38" s="1086">
        <f ca="1">INDIRECT("'数据-取费表'!Am"&amp;$G$1)</f>
        <v>0</v>
      </c>
      <c r="G38" s="1384"/>
      <c r="H38" s="2700"/>
      <c r="I38" s="1398"/>
      <c r="J38" s="1399"/>
      <c r="K38" s="2704"/>
      <c r="L38" s="2700"/>
      <c r="M38" s="2700"/>
    </row>
    <row r="39" spans="1:18" ht="24.6" customHeight="1" thickTop="1">
      <c r="A39" s="1079" t="s">
        <v>394</v>
      </c>
      <c r="B39" s="1094" t="s">
        <v>770</v>
      </c>
      <c r="C39" s="310">
        <f ca="1">C5-C30</f>
        <v>0</v>
      </c>
      <c r="D39" s="1095" t="s">
        <v>771</v>
      </c>
      <c r="E39" s="1096"/>
      <c r="F39" s="1097"/>
      <c r="G39" s="1384"/>
      <c r="H39" s="2700"/>
      <c r="I39" s="1398"/>
      <c r="J39" s="1399"/>
      <c r="K39" s="2704"/>
      <c r="L39" s="2700"/>
      <c r="M39" s="2700"/>
    </row>
    <row r="40" spans="1:18" ht="18" customHeight="1">
      <c r="A40" s="299" t="s">
        <v>395</v>
      </c>
      <c r="B40" s="300" t="s">
        <v>772</v>
      </c>
      <c r="C40" s="301" t="e">
        <f ca="1">ROUND(C39*(1-((1+F42)/(1+F40))^F41)/(F40-F42),0)</f>
        <v>#DIV/0!</v>
      </c>
      <c r="D40" s="324" t="s">
        <v>756</v>
      </c>
      <c r="E40" s="302" t="s">
        <v>757</v>
      </c>
      <c r="F40" s="312">
        <f ca="1">INDIRECT("'数据-取费表'!I"&amp;$G$1)</f>
        <v>0</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764</v>
      </c>
      <c r="F42" s="312">
        <f ca="1">INDIRECT("'数据-取费表'!v"&amp;$G$1)</f>
        <v>0</v>
      </c>
      <c r="G42" s="1384"/>
      <c r="H42" s="1191"/>
      <c r="I42" s="1398"/>
      <c r="J42" s="1399"/>
      <c r="K42" s="2544"/>
      <c r="L42" s="1191"/>
      <c r="M42" s="1191"/>
    </row>
    <row r="43" spans="1:18" ht="18" customHeight="1" thickBot="1">
      <c r="A43" s="334" t="s">
        <v>396</v>
      </c>
      <c r="B43" s="335" t="s">
        <v>774</v>
      </c>
      <c r="C43" s="336" t="e">
        <f ca="1">ROUND(C40*10000/F43,0)</f>
        <v>#DIV/0!</v>
      </c>
      <c r="D43" s="337" t="s">
        <v>775</v>
      </c>
      <c r="E43" s="338" t="s">
        <v>776</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806</v>
      </c>
      <c r="P45" s="1461"/>
      <c r="Q45" s="1461"/>
      <c r="R45" s="1461"/>
    </row>
    <row r="46" spans="1:18" s="1384" customFormat="1" ht="13.5" thickBot="1">
      <c r="A46" s="1404" t="s">
        <v>807</v>
      </c>
      <c r="C46" s="1405" t="e">
        <f ca="1">C68-C40</f>
        <v>#DIV/0!</v>
      </c>
      <c r="D46" s="1406" t="str">
        <f>C2</f>
        <v>万元</v>
      </c>
      <c r="E46" s="1400"/>
      <c r="F46" s="1400"/>
      <c r="I46" s="1407" t="s">
        <v>808</v>
      </c>
      <c r="J46" s="1408"/>
      <c r="K46" s="1409"/>
      <c r="L46" s="1410" t="e">
        <f ca="1">IF(M47="住宅",0,IF(L48&gt;J51,L60,J60))</f>
        <v>#DIV/0!</v>
      </c>
      <c r="O46" s="1411" t="s">
        <v>809</v>
      </c>
      <c r="P46" s="1412" t="s">
        <v>810</v>
      </c>
      <c r="Q46" s="1413" t="s">
        <v>811</v>
      </c>
      <c r="R46" s="1413" t="s">
        <v>812</v>
      </c>
    </row>
    <row r="47" spans="1:18" s="1384" customFormat="1" ht="13.5" thickBot="1">
      <c r="A47" s="946" t="s">
        <v>685</v>
      </c>
      <c r="B47" s="978" t="s">
        <v>686</v>
      </c>
      <c r="C47" s="1117" t="s">
        <v>687</v>
      </c>
      <c r="D47" s="978" t="s">
        <v>688</v>
      </c>
      <c r="E47" s="1058" t="s">
        <v>689</v>
      </c>
      <c r="F47" s="1059"/>
      <c r="G47" s="722"/>
      <c r="I47" s="1414" t="s">
        <v>813</v>
      </c>
      <c r="J47" s="1415"/>
      <c r="K47" s="1416" t="s">
        <v>814</v>
      </c>
      <c r="L47" s="1417">
        <f ca="1">INDIRECT("'数据-取费表'!d"&amp;$G$1)</f>
        <v>0</v>
      </c>
      <c r="M47" s="1380" t="str">
        <f>IF(ISNUMBER(FIND("住宅",C1)),"住宅","非住宅")</f>
        <v>非住宅</v>
      </c>
      <c r="O47" s="1418" t="s">
        <v>403</v>
      </c>
      <c r="P47" s="1419" t="s">
        <v>815</v>
      </c>
      <c r="Q47" s="1420" t="e">
        <f ca="1">C40+J29</f>
        <v>#DIV/0!</v>
      </c>
      <c r="R47" s="1420" t="s">
        <v>816</v>
      </c>
    </row>
    <row r="48" spans="1:18" s="1384" customFormat="1" ht="28.5" thickBot="1">
      <c r="A48" s="1110" t="s">
        <v>438</v>
      </c>
      <c r="B48" s="300" t="s">
        <v>690</v>
      </c>
      <c r="C48" s="1359">
        <f ca="1">C49+C53+C55</f>
        <v>0</v>
      </c>
      <c r="D48" s="1112"/>
      <c r="E48" s="1113"/>
      <c r="F48" s="962"/>
      <c r="G48" s="722"/>
      <c r="H48" s="723"/>
      <c r="I48" s="1421" t="s">
        <v>817</v>
      </c>
      <c r="J48" s="1422"/>
      <c r="K48" s="1423" t="s">
        <v>818</v>
      </c>
      <c r="L48" s="1424">
        <f ca="1">INDIRECT("'数据-取费表'!f"&amp;$G$1)</f>
        <v>0</v>
      </c>
      <c r="O48" s="1418" t="s">
        <v>404</v>
      </c>
      <c r="P48" s="1419" t="s">
        <v>819</v>
      </c>
      <c r="Q48" s="1420" t="e">
        <f ca="1">J60</f>
        <v>#DIV/0!</v>
      </c>
      <c r="R48" s="1420" t="s">
        <v>820</v>
      </c>
    </row>
    <row r="49" spans="1:18" s="1384" customFormat="1" ht="13.5" thickBot="1">
      <c r="A49" s="975" t="s">
        <v>439</v>
      </c>
      <c r="B49" s="1371" t="s">
        <v>777</v>
      </c>
      <c r="C49" s="1114">
        <f ca="1">ROUND(F49*F51*F50*(1-F52)/10000,0)</f>
        <v>0</v>
      </c>
      <c r="D49" s="1055" t="s">
        <v>2108</v>
      </c>
      <c r="E49" s="1372" t="s">
        <v>778</v>
      </c>
      <c r="F49" s="1060"/>
      <c r="G49" s="1425"/>
      <c r="H49" s="723"/>
      <c r="I49" s="1421" t="s">
        <v>821</v>
      </c>
      <c r="J49" s="1426"/>
      <c r="K49" s="1423" t="s">
        <v>822</v>
      </c>
      <c r="L49" s="1427"/>
      <c r="O49" s="1428" t="s">
        <v>405</v>
      </c>
      <c r="P49" s="1419" t="s">
        <v>823</v>
      </c>
      <c r="Q49" s="1420">
        <f ca="1">C29</f>
        <v>0</v>
      </c>
      <c r="R49" s="1420" t="s">
        <v>816</v>
      </c>
    </row>
    <row r="50" spans="1:18" s="1384" customFormat="1" ht="13.5" thickBot="1">
      <c r="A50" s="976"/>
      <c r="B50" s="979"/>
      <c r="C50" s="1118"/>
      <c r="D50" s="953"/>
      <c r="E50" s="1056" t="s">
        <v>695</v>
      </c>
      <c r="F50" s="1057">
        <f ca="1">F7</f>
        <v>0</v>
      </c>
      <c r="H50" s="723"/>
      <c r="I50" s="1421" t="s">
        <v>824</v>
      </c>
      <c r="J50" s="1429">
        <f>SUMPRODUCT((I63:I65=J47)*(J62:L62=J48)*(J63:L65))</f>
        <v>0</v>
      </c>
      <c r="K50" s="1423" t="s">
        <v>825</v>
      </c>
      <c r="L50" s="1427"/>
      <c r="M50" s="1430"/>
      <c r="O50" s="1428" t="s">
        <v>406</v>
      </c>
      <c r="P50" s="1419" t="s">
        <v>826</v>
      </c>
      <c r="Q50" s="1431" t="e">
        <f ca="1">J58</f>
        <v>#DIV/0!</v>
      </c>
      <c r="R50" s="1420"/>
    </row>
    <row r="51" spans="1:18" s="1384" customFormat="1" ht="13.5" thickBot="1">
      <c r="A51" s="977"/>
      <c r="B51" s="979"/>
      <c r="C51" s="980"/>
      <c r="D51" s="953"/>
      <c r="E51" s="981" t="s">
        <v>696</v>
      </c>
      <c r="F51" s="303">
        <f ca="1">F8</f>
        <v>0</v>
      </c>
      <c r="I51" s="1432" t="s">
        <v>827</v>
      </c>
      <c r="J51" s="1433">
        <f>IF(J49="",J50,J49+J50-YEAR('数据-取费表'!B2))</f>
        <v>0</v>
      </c>
      <c r="K51" s="1434" t="s">
        <v>828</v>
      </c>
      <c r="L51" s="1435">
        <f ca="1">ROUND(-PV(INDIRECT("'数据-取费表'!h"&amp;$G$1),J51,(C39-C13*C76),0),0)</f>
        <v>0</v>
      </c>
      <c r="M51" s="1436"/>
      <c r="O51" s="1428" t="s">
        <v>407</v>
      </c>
      <c r="P51" s="1419" t="s">
        <v>829</v>
      </c>
      <c r="Q51" s="1431">
        <f>J52</f>
        <v>0</v>
      </c>
      <c r="R51" s="1420"/>
    </row>
    <row r="52" spans="1:18" s="1384" customFormat="1" ht="13.5" thickBot="1">
      <c r="A52" s="977"/>
      <c r="B52" s="979"/>
      <c r="C52" s="980"/>
      <c r="D52" s="953"/>
      <c r="E52" s="981" t="s">
        <v>697</v>
      </c>
      <c r="F52" s="1054"/>
      <c r="I52" s="1437" t="s">
        <v>830</v>
      </c>
      <c r="J52" s="1438"/>
      <c r="K52" s="1437" t="s">
        <v>831</v>
      </c>
      <c r="L52" s="1438"/>
      <c r="O52" s="1428" t="s">
        <v>408</v>
      </c>
      <c r="P52" s="1419" t="s">
        <v>832</v>
      </c>
      <c r="Q52" s="1420">
        <f ca="1">J53</f>
        <v>0</v>
      </c>
      <c r="R52" s="1420" t="s">
        <v>833</v>
      </c>
    </row>
    <row r="53" spans="1:18" s="1384" customFormat="1" ht="24.75" thickBot="1">
      <c r="A53" s="1152" t="s">
        <v>440</v>
      </c>
      <c r="B53" s="1373" t="s">
        <v>698</v>
      </c>
      <c r="C53" s="316">
        <f ca="1">ROUND(IF(F53="押一",C49/12*F11,IF(F53="押二",C49/12*2*F11,IF(F53="押三",C49/12*3*F11,C54*F11))),0)</f>
        <v>0</v>
      </c>
      <c r="D53" s="1366" t="s">
        <v>2114</v>
      </c>
      <c r="E53" s="313" t="s">
        <v>699</v>
      </c>
      <c r="F53" s="1116"/>
      <c r="I53" s="1439" t="s">
        <v>834</v>
      </c>
      <c r="J53" s="2168">
        <f ca="1">IF(M47="住宅",IF(D1="——",MAX(J51,L48),MAX(J51,L48-'数据-取费表'!B24)),IF(D1="——",MIN(J51,L48),MIN(J51,L48-'数据-取费表'!B24)))</f>
        <v>0</v>
      </c>
      <c r="K53" s="3668" t="s">
        <v>835</v>
      </c>
      <c r="L53" s="3669"/>
      <c r="O53" s="1418" t="s">
        <v>409</v>
      </c>
      <c r="P53" s="1419" t="s">
        <v>836</v>
      </c>
      <c r="Q53" s="1420" t="e">
        <f ca="1">Q47+Q48</f>
        <v>#DIV/0!</v>
      </c>
      <c r="R53" s="1420" t="s">
        <v>410</v>
      </c>
    </row>
    <row r="54" spans="1:18" s="1384" customFormat="1" ht="13.5" thickBot="1">
      <c r="A54" s="1153"/>
      <c r="B54" s="1367" t="s">
        <v>677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t="e">
        <f ca="1">ROUND(IF(J47="钢混",J57/J50,1-(1-2%)*(J50-J57)/J50),3)</f>
        <v>#DIV/0!</v>
      </c>
      <c r="K55" s="1445" t="s">
        <v>839</v>
      </c>
      <c r="L55" s="1446"/>
      <c r="O55" s="1411" t="s">
        <v>809</v>
      </c>
      <c r="P55" s="1412" t="s">
        <v>810</v>
      </c>
      <c r="Q55" s="1413" t="s">
        <v>811</v>
      </c>
      <c r="R55" s="1413" t="s">
        <v>812</v>
      </c>
    </row>
    <row r="56" spans="1:18" s="1384" customFormat="1" ht="25.5" thickTop="1" thickBot="1">
      <c r="A56" s="957">
        <v>2</v>
      </c>
      <c r="B56" s="958" t="s">
        <v>702</v>
      </c>
      <c r="C56" s="232">
        <f ca="1">C13</f>
        <v>0</v>
      </c>
      <c r="D56" s="1447"/>
      <c r="E56" s="1448"/>
      <c r="F56" s="1440"/>
      <c r="I56" s="1449" t="s">
        <v>840</v>
      </c>
      <c r="J56" s="1450"/>
      <c r="K56" s="1421" t="s">
        <v>841</v>
      </c>
      <c r="L56" s="1424">
        <f ca="1">IF(L48&lt;J51,"——",L48-J53)</f>
        <v>0</v>
      </c>
      <c r="O56" s="1418" t="s">
        <v>403</v>
      </c>
      <c r="P56" s="1419" t="s">
        <v>815</v>
      </c>
      <c r="Q56" s="1420" t="e">
        <f ca="1">C40+J29</f>
        <v>#DIV/0!</v>
      </c>
      <c r="R56" s="1420" t="s">
        <v>816</v>
      </c>
    </row>
    <row r="57" spans="1:18" s="1384" customFormat="1" ht="24.75" thickBot="1">
      <c r="A57" s="1451"/>
      <c r="B57" s="950" t="s">
        <v>765</v>
      </c>
      <c r="C57" s="238">
        <f ca="1">C29</f>
        <v>0</v>
      </c>
      <c r="D57" s="1452"/>
      <c r="E57" s="1453"/>
      <c r="F57" s="1454"/>
      <c r="I57" s="1455" t="s">
        <v>842</v>
      </c>
      <c r="J57" s="1456">
        <f ca="1">IF(OR(M47="住宅",J51&lt;L48,J56="是"),"——",J51-L48)</f>
        <v>0</v>
      </c>
      <c r="K57" s="1421" t="s">
        <v>843</v>
      </c>
      <c r="L57" s="1424">
        <f ca="1">IF(L48&lt;J51,"——",IF(L55="比较法",L49,IF(L55="基准地价",L50,L51)))</f>
        <v>0</v>
      </c>
      <c r="O57" s="1418" t="s">
        <v>404</v>
      </c>
      <c r="P57" s="1419" t="s">
        <v>844</v>
      </c>
      <c r="Q57" s="1420" t="e">
        <f ca="1">L60</f>
        <v>#DIV/0!</v>
      </c>
      <c r="R57" s="1420" t="s">
        <v>845</v>
      </c>
    </row>
    <row r="58" spans="1:18" s="1384" customFormat="1" ht="24.75" thickBot="1">
      <c r="A58" s="315" t="s">
        <v>393</v>
      </c>
      <c r="B58" s="958" t="s">
        <v>712</v>
      </c>
      <c r="C58" s="316">
        <f ca="1">ROUND(C59+C64+C65+C66,0)</f>
        <v>0</v>
      </c>
      <c r="D58" s="960" t="s">
        <v>713</v>
      </c>
      <c r="E58" s="961"/>
      <c r="F58" s="962"/>
      <c r="I58" s="1455" t="s">
        <v>846</v>
      </c>
      <c r="J58" s="1457" t="e">
        <f ca="1">IF(J55&lt;0.4,0.4,J55)</f>
        <v>#DIV/0!</v>
      </c>
      <c r="K58" s="1434" t="s">
        <v>847</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IF(项目基本情况!B11="自然人","——",ROUND(C48*F60/(1+'数据-取费表'!C42),2))</f>
        <v>0</v>
      </c>
      <c r="D60" s="964" t="s">
        <v>722</v>
      </c>
      <c r="E60" s="950" t="s">
        <v>710</v>
      </c>
      <c r="F60" s="331">
        <f t="shared" ref="F60:F66" si="0">F32</f>
        <v>5.6000000000000001E-2</v>
      </c>
      <c r="I60" s="1458" t="s">
        <v>851</v>
      </c>
      <c r="J60" s="1459" t="e">
        <f ca="1">IF(OR(M47="住宅",J51&lt;L48,J56="是"),"0",ROUND(J59/(1+J52)^J53,0))</f>
        <v>#DIV/0!</v>
      </c>
      <c r="K60" s="1460" t="s">
        <v>852</v>
      </c>
      <c r="L60" s="1459" t="e">
        <f ca="1">IF(OR(M47="住宅",L48&lt;J51),0,ROUND(L57*(L58/L59-1),0))</f>
        <v>#DIV/0!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IF(项目基本情况!B11="自然人","——",IF(D61="按租金收入计税",ROUND(C49*F61/(1+'数据-取费表'!C42),2),IF(D61="按房产原值计税",ROUND(C57*F61*0.7,2),INDIRECT("'数据-取费表'!Aj"&amp;$G$1))))</f>
        <v>0</v>
      </c>
      <c r="D61" s="1370" t="s">
        <v>3329</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IF(项目基本情况!B11="自然人","——",ROUND(F62*F63/10000,2))</f>
        <v>0</v>
      </c>
      <c r="D62" s="965" t="s">
        <v>784</v>
      </c>
      <c r="E62" s="950" t="s">
        <v>785</v>
      </c>
      <c r="F62" s="325">
        <f t="shared" si="0"/>
        <v>0</v>
      </c>
      <c r="I62" s="1462" t="s">
        <v>856</v>
      </c>
      <c r="J62" s="1463" t="s">
        <v>857</v>
      </c>
      <c r="K62" s="1463" t="s">
        <v>858</v>
      </c>
      <c r="L62" s="1463" t="s">
        <v>859</v>
      </c>
      <c r="M62" s="1464" t="s">
        <v>860</v>
      </c>
      <c r="O62" s="1418" t="s">
        <v>409</v>
      </c>
      <c r="P62" s="1419" t="s">
        <v>861</v>
      </c>
      <c r="Q62" s="1420" t="e">
        <f ca="1">Q56+Q57</f>
        <v>#DIV/0!</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ROUND(C57*F64,2)</f>
        <v>0</v>
      </c>
      <c r="D64" s="964" t="s">
        <v>789</v>
      </c>
      <c r="E64" s="950" t="s">
        <v>781</v>
      </c>
      <c r="F64" s="328">
        <f t="shared" ca="1" si="0"/>
        <v>0</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ROUND(C56*F65,2)</f>
        <v>0</v>
      </c>
      <c r="D65" s="964" t="s">
        <v>741</v>
      </c>
      <c r="E65" s="950" t="s">
        <v>742</v>
      </c>
      <c r="F65" s="330">
        <f t="shared" ca="1" si="0"/>
        <v>0</v>
      </c>
      <c r="I65" s="1462" t="s">
        <v>865</v>
      </c>
      <c r="J65" s="1463">
        <v>40</v>
      </c>
      <c r="K65" s="1463">
        <v>30</v>
      </c>
      <c r="L65" s="1463">
        <v>50</v>
      </c>
      <c r="M65" s="1465">
        <v>0.02</v>
      </c>
      <c r="O65" s="1418" t="s">
        <v>403</v>
      </c>
      <c r="P65" s="1419" t="s">
        <v>866</v>
      </c>
      <c r="Q65" s="1420" t="e">
        <f ca="1">C40+J29</f>
        <v>#DIV/0!</v>
      </c>
      <c r="R65" s="1420" t="s">
        <v>816</v>
      </c>
    </row>
    <row r="66" spans="1:18" s="1384" customFormat="1" ht="16.5" thickBot="1">
      <c r="A66" s="982" t="s">
        <v>791</v>
      </c>
      <c r="B66" s="950" t="s">
        <v>726</v>
      </c>
      <c r="C66" s="21">
        <f ca="1">ROUND(C48*F66,2)</f>
        <v>0</v>
      </c>
      <c r="D66" s="964" t="s">
        <v>792</v>
      </c>
      <c r="E66" s="950" t="s">
        <v>710</v>
      </c>
      <c r="F66" s="312">
        <f t="shared" ca="1" si="0"/>
        <v>0</v>
      </c>
      <c r="O66" s="1418" t="s">
        <v>404</v>
      </c>
      <c r="P66" s="1419" t="s">
        <v>844</v>
      </c>
      <c r="Q66" s="1420" t="e">
        <f ca="1">L60</f>
        <v>#DIV/0!</v>
      </c>
      <c r="R66" s="1420" t="s">
        <v>867</v>
      </c>
    </row>
    <row r="67" spans="1:18" s="1384" customFormat="1" ht="16.5" thickBot="1">
      <c r="A67" s="957" t="s">
        <v>394</v>
      </c>
      <c r="B67" s="967" t="s">
        <v>750</v>
      </c>
      <c r="C67" s="316">
        <f ca="1">C48-C58</f>
        <v>0</v>
      </c>
      <c r="D67" s="963" t="s">
        <v>751</v>
      </c>
      <c r="E67" s="968"/>
      <c r="F67" s="969"/>
      <c r="O67" s="1428" t="s">
        <v>405</v>
      </c>
      <c r="P67" s="1419" t="s">
        <v>848</v>
      </c>
      <c r="Q67" s="1466">
        <f ca="1">L51</f>
        <v>0</v>
      </c>
      <c r="R67" s="1420" t="s">
        <v>868</v>
      </c>
    </row>
    <row r="68" spans="1:18" s="1384" customFormat="1" ht="16.5" thickBot="1">
      <c r="A68" s="947" t="s">
        <v>395</v>
      </c>
      <c r="B68" s="948" t="s">
        <v>772</v>
      </c>
      <c r="C68" s="301" t="e">
        <f ca="1">ROUND(C67*(1-((1+F70)/(1+F68))^F69)/(F68-F70),0)</f>
        <v>#DIV/0!</v>
      </c>
      <c r="D68" s="965" t="s">
        <v>756</v>
      </c>
      <c r="E68" s="950" t="s">
        <v>757</v>
      </c>
      <c r="F68" s="312">
        <f ca="1">F40</f>
        <v>0</v>
      </c>
      <c r="O68" s="1428" t="s">
        <v>406</v>
      </c>
      <c r="P68" s="1467" t="s">
        <v>869</v>
      </c>
      <c r="Q68" s="1420">
        <f ca="1">ROUND(Q69-Q70*Q71,0)</f>
        <v>0</v>
      </c>
      <c r="R68" s="1420" t="s">
        <v>414</v>
      </c>
    </row>
    <row r="69" spans="1:18" s="1384" customFormat="1" ht="13.5" thickBot="1">
      <c r="A69" s="951"/>
      <c r="B69" s="952"/>
      <c r="C69" s="306"/>
      <c r="D69" s="970" t="s">
        <v>760</v>
      </c>
      <c r="E69" s="950" t="s">
        <v>761</v>
      </c>
      <c r="F69" s="333">
        <f ca="1">F41</f>
        <v>0</v>
      </c>
      <c r="O69" s="1428" t="s">
        <v>411</v>
      </c>
      <c r="P69" s="1467" t="s">
        <v>870</v>
      </c>
      <c r="Q69" s="1420">
        <f ca="1">C39</f>
        <v>0</v>
      </c>
      <c r="R69" s="1420" t="s">
        <v>816</v>
      </c>
    </row>
    <row r="70" spans="1:18" s="1384" customFormat="1" ht="13.5" thickBot="1">
      <c r="A70" s="954"/>
      <c r="B70" s="955"/>
      <c r="C70" s="310"/>
      <c r="D70" s="966"/>
      <c r="E70" s="950" t="s">
        <v>764</v>
      </c>
      <c r="F70" s="1054"/>
      <c r="O70" s="1428" t="s">
        <v>412</v>
      </c>
      <c r="P70" s="1467" t="s">
        <v>871</v>
      </c>
      <c r="Q70" s="1420">
        <f ca="1">C13</f>
        <v>0</v>
      </c>
      <c r="R70" s="1420" t="s">
        <v>816</v>
      </c>
    </row>
    <row r="71" spans="1:18" s="1384" customFormat="1" ht="13.5" thickBot="1">
      <c r="A71" s="971" t="s">
        <v>396</v>
      </c>
      <c r="B71" s="972" t="s">
        <v>774</v>
      </c>
      <c r="C71" s="336" t="e">
        <f ca="1">ROUND(C68*10000/F71,0)</f>
        <v>#DIV/0!</v>
      </c>
      <c r="D71" s="973" t="s">
        <v>775</v>
      </c>
      <c r="E71" s="974" t="s">
        <v>776</v>
      </c>
      <c r="F71" s="339">
        <f ca="1">F43</f>
        <v>0</v>
      </c>
      <c r="O71" s="1428" t="s">
        <v>413</v>
      </c>
      <c r="P71" s="1467" t="s">
        <v>872</v>
      </c>
      <c r="Q71" s="1431">
        <f ca="1">C76</f>
        <v>0</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0</v>
      </c>
      <c r="D75" s="1384"/>
      <c r="E75" s="1384"/>
      <c r="F75" s="1384"/>
      <c r="K75" s="1402"/>
      <c r="L75" s="1384"/>
      <c r="O75" s="1418" t="s">
        <v>409</v>
      </c>
      <c r="P75" s="1419" t="s">
        <v>836</v>
      </c>
      <c r="Q75" s="1420" t="e">
        <f ca="1">Q65+Q66</f>
        <v>#DIV/0!</v>
      </c>
      <c r="R75" s="1420" t="s">
        <v>410</v>
      </c>
    </row>
    <row r="76" spans="1:18">
      <c r="B76" s="342" t="s">
        <v>794</v>
      </c>
      <c r="C76" s="343">
        <f ca="1">INDIRECT("'数据-取费表'!j"&amp;$G$1)</f>
        <v>0</v>
      </c>
      <c r="I76" s="1384"/>
      <c r="J76" s="1384"/>
      <c r="K76" s="1402"/>
      <c r="L76" s="1384"/>
    </row>
    <row r="77" spans="1:18">
      <c r="B77" s="344" t="s">
        <v>795</v>
      </c>
      <c r="C77" s="345"/>
      <c r="I77" s="1384"/>
      <c r="J77" s="1384"/>
      <c r="K77" s="1402"/>
      <c r="L77" s="1384"/>
    </row>
    <row r="78" spans="1:18">
      <c r="B78" s="270" t="s">
        <v>796</v>
      </c>
      <c r="C78" s="346"/>
    </row>
    <row r="79" spans="1:18">
      <c r="B79" s="340" t="s">
        <v>797</v>
      </c>
      <c r="C79" s="274" t="e">
        <f ca="1">1-C80</f>
        <v>#DIV/0!</v>
      </c>
    </row>
    <row r="80" spans="1:18">
      <c r="B80" s="340" t="s">
        <v>798</v>
      </c>
      <c r="C80" s="274" t="e">
        <f ca="1">ROUND(C75/C39,3)</f>
        <v>#DIV/0!</v>
      </c>
    </row>
    <row r="81" spans="2:3">
      <c r="B81" s="270" t="s">
        <v>799</v>
      </c>
      <c r="C81" s="238"/>
    </row>
    <row r="82" spans="2:3">
      <c r="B82" s="273" t="s">
        <v>800</v>
      </c>
      <c r="C82" s="275" t="e">
        <f ca="1">1-C83</f>
        <v>#DIV/0!</v>
      </c>
    </row>
    <row r="83" spans="2:3">
      <c r="B83" s="273" t="s">
        <v>801</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7" priority="56">
      <formula>$L$48&gt;$J$51</formula>
    </cfRule>
  </conditionalFormatting>
  <conditionalFormatting sqref="I55 I60">
    <cfRule type="expression" dxfId="186" priority="57">
      <formula>$J$51&gt;$L$48</formula>
    </cfRule>
  </conditionalFormatting>
  <conditionalFormatting sqref="C11">
    <cfRule type="expression" dxfId="185" priority="3">
      <formula>$F$10="自定义"</formula>
    </cfRule>
  </conditionalFormatting>
  <conditionalFormatting sqref="J11">
    <cfRule type="expression" dxfId="184" priority="2">
      <formula>$M$10="自定义"</formula>
    </cfRule>
  </conditionalFormatting>
  <conditionalFormatting sqref="C54">
    <cfRule type="expression" dxfId="18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L51" sqref="L5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1764</v>
      </c>
      <c r="C1" s="1238" t="s">
        <v>1660</v>
      </c>
      <c r="D1" s="1225" t="s">
        <v>3378</v>
      </c>
      <c r="E1" s="3426" t="s">
        <v>3387</v>
      </c>
      <c r="F1" s="1879" t="s">
        <v>3388</v>
      </c>
      <c r="G1" s="1235" t="s">
        <v>1765</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1460</v>
      </c>
      <c r="B2" s="1164">
        <f>IF(E1="项目模式",IF(C2="——",ROUND(C49*D3/10000,0),ROUND(C49*D3/10000,0)-D2),IF(E1="单套模式",IF(C2="——",ROUND(C49*D3/10000,4),ROUND(C49*D3/10000,4)-D2)))</f>
        <v>1235.3634999999999</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1462</v>
      </c>
      <c r="B3" s="558">
        <f>IF(C2="——",C49,ROUND(B2*10000/D3,0))</f>
        <v>117497</v>
      </c>
      <c r="C3" s="354" t="s">
        <v>1766</v>
      </c>
      <c r="D3" s="353">
        <f>IF(D1="",'数据-汇总表'!E3,SUMIF('数据-汇总表'!$C19:$C33,D1,'数据-汇总表'!$E19:$E33))</f>
        <v>105.14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1767</v>
      </c>
      <c r="B4" s="356"/>
      <c r="C4" s="3692" t="s">
        <v>1768</v>
      </c>
      <c r="D4" s="3693"/>
      <c r="E4" s="3694" t="s">
        <v>1769</v>
      </c>
      <c r="F4" s="3695"/>
      <c r="G4" s="3692" t="s">
        <v>1770</v>
      </c>
      <c r="H4" s="3693"/>
      <c r="I4" s="3692" t="s">
        <v>1771</v>
      </c>
      <c r="J4" s="3693"/>
      <c r="K4" s="559" t="s">
        <v>1772</v>
      </c>
      <c r="L4" s="2715"/>
      <c r="M4" s="2716"/>
      <c r="N4" s="2716"/>
      <c r="O4" s="2716"/>
      <c r="P4" s="3696" t="s">
        <v>1773</v>
      </c>
      <c r="Q4" s="3697"/>
      <c r="R4" s="3702" t="s">
        <v>1769</v>
      </c>
      <c r="S4" s="3703"/>
      <c r="T4" s="3702" t="s">
        <v>1770</v>
      </c>
      <c r="U4" s="3703"/>
      <c r="V4" s="3687" t="s">
        <v>1771</v>
      </c>
      <c r="W4" s="3687"/>
      <c r="X4" s="1355"/>
      <c r="Y4" s="3702" t="s">
        <v>1773</v>
      </c>
      <c r="Z4" s="3703"/>
      <c r="AA4" s="3689" t="s">
        <v>1769</v>
      </c>
      <c r="AB4" s="3687" t="s">
        <v>1770</v>
      </c>
      <c r="AC4" s="3689" t="s">
        <v>1771</v>
      </c>
    </row>
    <row r="5" spans="1:29" ht="15">
      <c r="A5" s="358"/>
      <c r="B5" s="359"/>
      <c r="C5" s="3710" t="s">
        <v>1671</v>
      </c>
      <c r="D5" s="3711"/>
      <c r="E5" s="3717" t="s">
        <v>1672</v>
      </c>
      <c r="F5" s="3718"/>
      <c r="G5" s="3710" t="s">
        <v>1673</v>
      </c>
      <c r="H5" s="3711"/>
      <c r="I5" s="3710" t="s">
        <v>1674</v>
      </c>
      <c r="J5" s="3711"/>
      <c r="K5" s="559"/>
      <c r="L5" s="2715"/>
      <c r="M5" s="2716"/>
      <c r="N5" s="2716"/>
      <c r="O5" s="2716"/>
      <c r="P5" s="3698"/>
      <c r="Q5" s="3699"/>
      <c r="R5" s="3704"/>
      <c r="S5" s="3705"/>
      <c r="T5" s="3704"/>
      <c r="U5" s="3705"/>
      <c r="V5" s="3687"/>
      <c r="W5" s="3687"/>
      <c r="X5" s="1355"/>
      <c r="Y5" s="3704"/>
      <c r="Z5" s="3705"/>
      <c r="AA5" s="3690"/>
      <c r="AB5" s="3687"/>
      <c r="AC5" s="3690"/>
    </row>
    <row r="6" spans="1:29" ht="15.75" thickBot="1">
      <c r="A6" s="360"/>
      <c r="B6" s="361"/>
      <c r="C6" s="3708" t="s">
        <v>1675</v>
      </c>
      <c r="D6" s="3709"/>
      <c r="E6" s="3715" t="s">
        <v>1675</v>
      </c>
      <c r="F6" s="3716"/>
      <c r="G6" s="3708" t="s">
        <v>1675</v>
      </c>
      <c r="H6" s="3709"/>
      <c r="I6" s="3708" t="s">
        <v>1675</v>
      </c>
      <c r="J6" s="3709"/>
      <c r="K6" s="559" t="s">
        <v>1676</v>
      </c>
      <c r="L6" s="2715"/>
      <c r="M6" s="2716"/>
      <c r="N6" s="2716"/>
      <c r="O6" s="2716"/>
      <c r="P6" s="3700"/>
      <c r="Q6" s="3701"/>
      <c r="R6" s="3704"/>
      <c r="S6" s="3705"/>
      <c r="T6" s="3706"/>
      <c r="U6" s="3707"/>
      <c r="V6" s="3687"/>
      <c r="W6" s="3687"/>
      <c r="X6" s="1355"/>
      <c r="Y6" s="3706"/>
      <c r="Z6" s="3707"/>
      <c r="AA6" s="3691"/>
      <c r="AB6" s="3687"/>
      <c r="AC6" s="3691"/>
    </row>
    <row r="7" spans="1:29" s="108" customFormat="1" ht="15.75" thickBot="1">
      <c r="A7" s="362" t="s">
        <v>1677</v>
      </c>
      <c r="B7" s="363"/>
      <c r="C7" s="364">
        <f>'数据-取费表'!B2</f>
        <v>45485</v>
      </c>
      <c r="D7" s="365">
        <v>100</v>
      </c>
      <c r="E7" s="366">
        <f>C7</f>
        <v>45485</v>
      </c>
      <c r="F7" s="367">
        <f>SUMIF(58:58,YEAR(E7)&amp;"-"&amp;MONTH(E7),59:59)</f>
        <v>100</v>
      </c>
      <c r="G7" s="366">
        <f>C7</f>
        <v>45485</v>
      </c>
      <c r="H7" s="365">
        <f>SUMIF(58:58,YEAR(G7)&amp;"-"&amp;MONTH(G7),59:59)</f>
        <v>100</v>
      </c>
      <c r="I7" s="366">
        <f>C7</f>
        <v>45485</v>
      </c>
      <c r="J7" s="365">
        <f>SUMIF(58:58,YEAR(I7)&amp;"-"&amp;MONTH(I7),59:59)</f>
        <v>100</v>
      </c>
      <c r="K7" s="560"/>
      <c r="L7" s="2717"/>
      <c r="M7" s="2718"/>
      <c r="N7" s="2718"/>
      <c r="O7" s="2718"/>
      <c r="P7" s="3712" t="s">
        <v>1678</v>
      </c>
      <c r="Q7" s="3714"/>
      <c r="R7" s="701" t="s">
        <v>14</v>
      </c>
      <c r="S7" s="702">
        <f t="shared" ref="S7:S15" si="0">F7</f>
        <v>100</v>
      </c>
      <c r="T7" s="701" t="s">
        <v>14</v>
      </c>
      <c r="U7" s="702">
        <f t="shared" ref="U7:U15" si="1">H7</f>
        <v>100</v>
      </c>
      <c r="V7" s="701" t="s">
        <v>14</v>
      </c>
      <c r="W7" s="702">
        <f t="shared" ref="W7:W15" si="2">J7</f>
        <v>100</v>
      </c>
      <c r="X7" s="703"/>
      <c r="Y7" s="3712" t="s">
        <v>1678</v>
      </c>
      <c r="Z7" s="3713"/>
      <c r="AA7" s="704">
        <f>D7/F7</f>
        <v>1</v>
      </c>
      <c r="AB7" s="704">
        <f>D7/H7</f>
        <v>1</v>
      </c>
      <c r="AC7" s="704">
        <f>D7/J7</f>
        <v>1</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12" t="s">
        <v>1681</v>
      </c>
      <c r="Q8" s="3713"/>
      <c r="R8" s="701" t="s">
        <v>14</v>
      </c>
      <c r="S8" s="702">
        <f t="shared" si="0"/>
        <v>100</v>
      </c>
      <c r="T8" s="701" t="s">
        <v>14</v>
      </c>
      <c r="U8" s="702">
        <f t="shared" si="1"/>
        <v>100</v>
      </c>
      <c r="V8" s="701" t="s">
        <v>14</v>
      </c>
      <c r="W8" s="702">
        <f t="shared" si="2"/>
        <v>100</v>
      </c>
      <c r="X8" s="703"/>
      <c r="Y8" s="3712" t="s">
        <v>1681</v>
      </c>
      <c r="Z8" s="3713"/>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8"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1687</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15">
      <c r="A15" s="391" t="s">
        <v>1688</v>
      </c>
      <c r="B15" s="61" t="s">
        <v>1775</v>
      </c>
      <c r="C15" s="1896">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78" t="s">
        <v>1689</v>
      </c>
      <c r="Q15" s="1352" t="str">
        <f t="shared" si="6"/>
        <v>商业繁华度</v>
      </c>
      <c r="R15" s="705" t="s">
        <v>14</v>
      </c>
      <c r="S15" s="706">
        <f t="shared" si="0"/>
        <v>100</v>
      </c>
      <c r="T15" s="705" t="s">
        <v>14</v>
      </c>
      <c r="U15" s="706">
        <f t="shared" si="1"/>
        <v>100</v>
      </c>
      <c r="V15" s="705" t="s">
        <v>14</v>
      </c>
      <c r="W15" s="706">
        <f t="shared" si="2"/>
        <v>100</v>
      </c>
      <c r="X15" s="1355"/>
      <c r="Y15" s="3680" t="s">
        <v>1689</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79"/>
      <c r="Q16" s="1352"/>
      <c r="R16" s="705"/>
      <c r="S16" s="706"/>
      <c r="T16" s="705"/>
      <c r="U16" s="706"/>
      <c r="V16" s="705"/>
      <c r="W16" s="706"/>
      <c r="X16" s="1355"/>
      <c r="Y16" s="3681"/>
      <c r="Z16" s="1356"/>
      <c r="AA16" s="1353">
        <v>1</v>
      </c>
      <c r="AB16" s="1353">
        <v>1</v>
      </c>
      <c r="AC16" s="1353">
        <v>1</v>
      </c>
    </row>
    <row r="17" spans="1:29" ht="15">
      <c r="A17" s="379"/>
      <c r="B17" s="402" t="s">
        <v>1257</v>
      </c>
      <c r="C17" s="1900">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79"/>
      <c r="Q18" s="1352"/>
      <c r="R18" s="705"/>
      <c r="S18" s="706"/>
      <c r="T18" s="705"/>
      <c r="U18" s="706"/>
      <c r="V18" s="705"/>
      <c r="W18" s="706"/>
      <c r="X18" s="1355"/>
      <c r="Y18" s="3681"/>
      <c r="Z18" s="1356"/>
      <c r="AA18" s="1353">
        <v>1</v>
      </c>
      <c r="AB18" s="1353">
        <v>1</v>
      </c>
      <c r="AC18" s="1353">
        <v>1</v>
      </c>
    </row>
    <row r="19" spans="1:29" ht="15">
      <c r="A19" s="379"/>
      <c r="B19" s="402" t="s">
        <v>1776</v>
      </c>
      <c r="C19" s="1900">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79"/>
      <c r="Q20" s="1352"/>
      <c r="R20" s="705"/>
      <c r="S20" s="706"/>
      <c r="T20" s="705"/>
      <c r="U20" s="706"/>
      <c r="V20" s="705"/>
      <c r="W20" s="706"/>
      <c r="X20" s="1355"/>
      <c r="Y20" s="3681"/>
      <c r="Z20" s="1356"/>
      <c r="AA20" s="1353">
        <v>1</v>
      </c>
      <c r="AB20" s="1353">
        <v>1</v>
      </c>
      <c r="AC20" s="1353">
        <v>1</v>
      </c>
    </row>
    <row r="21" spans="1:29" ht="15">
      <c r="A21" s="379"/>
      <c r="B21" s="1131" t="s">
        <v>1777</v>
      </c>
      <c r="C21" s="1900">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79"/>
      <c r="Q22" s="1352"/>
      <c r="R22" s="705"/>
      <c r="S22" s="706"/>
      <c r="T22" s="705"/>
      <c r="U22" s="706"/>
      <c r="V22" s="705"/>
      <c r="W22" s="706"/>
      <c r="X22" s="1355"/>
      <c r="Y22" s="3681"/>
      <c r="Z22" s="1356"/>
      <c r="AA22" s="1353">
        <v>1</v>
      </c>
      <c r="AB22" s="1353">
        <v>1</v>
      </c>
      <c r="AC22" s="1353">
        <v>1</v>
      </c>
    </row>
    <row r="23" spans="1:29" ht="15">
      <c r="A23" s="379"/>
      <c r="B23" s="402" t="s">
        <v>1259</v>
      </c>
      <c r="C23" s="1955">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79"/>
      <c r="Q23" s="1352" t="str">
        <f>B23</f>
        <v>自然及人文环境</v>
      </c>
      <c r="R23" s="705" t="s">
        <v>14</v>
      </c>
      <c r="S23" s="706">
        <f>F23</f>
        <v>100</v>
      </c>
      <c r="T23" s="705" t="s">
        <v>14</v>
      </c>
      <c r="U23" s="706">
        <f>H23</f>
        <v>100</v>
      </c>
      <c r="V23" s="705" t="s">
        <v>14</v>
      </c>
      <c r="W23" s="706">
        <f>J23</f>
        <v>100</v>
      </c>
      <c r="X23" s="1355"/>
      <c r="Y23" s="368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79"/>
      <c r="Q25" s="1352" t="str">
        <f t="shared" ref="Q25:Q46" si="11">B25</f>
        <v>临街状况</v>
      </c>
      <c r="R25" s="705" t="s">
        <v>14</v>
      </c>
      <c r="S25" s="706">
        <f>F25</f>
        <v>100</v>
      </c>
      <c r="T25" s="705" t="s">
        <v>14</v>
      </c>
      <c r="U25" s="706">
        <f>H25</f>
        <v>100</v>
      </c>
      <c r="V25" s="705" t="s">
        <v>14</v>
      </c>
      <c r="W25" s="706">
        <f>J25</f>
        <v>100</v>
      </c>
      <c r="X25" s="1355"/>
      <c r="Y25" s="3681"/>
      <c r="Z25" s="1356" t="str">
        <f>Q25</f>
        <v>临街状况</v>
      </c>
      <c r="AA25" s="1353">
        <f t="shared" si="3"/>
        <v>1</v>
      </c>
      <c r="AB25" s="1353">
        <f t="shared" si="4"/>
        <v>1</v>
      </c>
      <c r="AC25" s="1353">
        <f t="shared" si="5"/>
        <v>1</v>
      </c>
    </row>
    <row r="26" spans="1:29" ht="15">
      <c r="A26" s="379"/>
      <c r="B26" s="1133" t="s">
        <v>1779</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79"/>
      <c r="Q26" s="1352" t="str">
        <f t="shared" si="11"/>
        <v>平面位置/可视性</v>
      </c>
      <c r="R26" s="705" t="s">
        <v>14</v>
      </c>
      <c r="S26" s="706">
        <f>F26</f>
        <v>100</v>
      </c>
      <c r="T26" s="705" t="s">
        <v>14</v>
      </c>
      <c r="U26" s="706">
        <f>H26</f>
        <v>100</v>
      </c>
      <c r="V26" s="705" t="s">
        <v>14</v>
      </c>
      <c r="W26" s="706">
        <f>J26</f>
        <v>100</v>
      </c>
      <c r="X26" s="1355"/>
      <c r="Y26" s="3681"/>
      <c r="Z26" s="1356" t="str">
        <f>Q26</f>
        <v>平面位置/可视性</v>
      </c>
      <c r="AA26" s="1353">
        <f t="shared" si="3"/>
        <v>1</v>
      </c>
      <c r="AB26" s="1353">
        <f t="shared" si="4"/>
        <v>1</v>
      </c>
      <c r="AC26" s="1353">
        <f t="shared" si="5"/>
        <v>1</v>
      </c>
    </row>
    <row r="27" spans="1:29" s="108" customFormat="1" ht="15">
      <c r="A27" s="382"/>
      <c r="B27" s="402" t="s">
        <v>1780</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79"/>
      <c r="Q27" s="1343" t="str">
        <f t="shared" si="11"/>
        <v>人流量</v>
      </c>
      <c r="R27" s="701" t="s">
        <v>14</v>
      </c>
      <c r="S27" s="702">
        <f>F27</f>
        <v>100</v>
      </c>
      <c r="T27" s="701" t="s">
        <v>14</v>
      </c>
      <c r="U27" s="702">
        <f>H27</f>
        <v>100</v>
      </c>
      <c r="V27" s="701" t="s">
        <v>14</v>
      </c>
      <c r="W27" s="702">
        <f>J27</f>
        <v>100</v>
      </c>
      <c r="X27" s="703"/>
      <c r="Y27" s="3681"/>
      <c r="Z27" s="52" t="str">
        <f>Q27</f>
        <v>人流量</v>
      </c>
      <c r="AA27" s="1353">
        <f>D27/F27</f>
        <v>1</v>
      </c>
      <c r="AB27" s="1353">
        <f>D27/H27</f>
        <v>1</v>
      </c>
      <c r="AC27" s="1353">
        <f>D27/J27</f>
        <v>1</v>
      </c>
    </row>
    <row r="28" spans="1:29" ht="15">
      <c r="A28" s="379"/>
      <c r="B28" s="375" t="s">
        <v>1781</v>
      </c>
      <c r="C28" s="565">
        <v>1</v>
      </c>
      <c r="D28" s="386">
        <v>100</v>
      </c>
      <c r="E28" s="565" t="s">
        <v>3414</v>
      </c>
      <c r="F28" s="412">
        <f>SUMIF(92:92,E28,93:93)-SUMIF(92:92,C28,93:93)+100</f>
        <v>70</v>
      </c>
      <c r="G28" s="565" t="s">
        <v>3414</v>
      </c>
      <c r="H28" s="386">
        <f>SUMIF(92:92,G28,93:93)-SUMIF(92:92,C28,93:93)+100</f>
        <v>70</v>
      </c>
      <c r="I28" s="565" t="s">
        <v>3414</v>
      </c>
      <c r="J28" s="386">
        <f>SUMIF(92:92,I28,93:93)-SUMIF(92:92,C28,93:93)+100</f>
        <v>70</v>
      </c>
      <c r="K28" s="562"/>
      <c r="L28" s="2722"/>
      <c r="M28" s="2716"/>
      <c r="N28" s="2716"/>
      <c r="O28" s="2716"/>
      <c r="P28" s="3679"/>
      <c r="Q28" s="1352" t="str">
        <f t="shared" si="11"/>
        <v>楼层</v>
      </c>
      <c r="R28" s="705" t="s">
        <v>14</v>
      </c>
      <c r="S28" s="706">
        <f t="shared" ref="S28:S46" si="12">F28</f>
        <v>70</v>
      </c>
      <c r="T28" s="705" t="s">
        <v>14</v>
      </c>
      <c r="U28" s="706">
        <f t="shared" ref="U28:U46" si="13">H28</f>
        <v>70</v>
      </c>
      <c r="V28" s="705" t="s">
        <v>14</v>
      </c>
      <c r="W28" s="706">
        <f t="shared" ref="W28:W46" si="14">J28</f>
        <v>70</v>
      </c>
      <c r="X28" s="1355"/>
      <c r="Y28" s="3681"/>
      <c r="Z28" s="1356" t="str">
        <f t="shared" ref="Z28:Z46" si="15">Q28</f>
        <v>楼层</v>
      </c>
      <c r="AA28" s="1353">
        <f t="shared" si="3"/>
        <v>1.4285714285714286</v>
      </c>
      <c r="AB28" s="1353">
        <f t="shared" si="4"/>
        <v>1.4285714285714286</v>
      </c>
      <c r="AC28" s="1353">
        <f t="shared" si="5"/>
        <v>1.4285714285714286</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79"/>
      <c r="Q29" s="1352">
        <f t="shared" si="11"/>
        <v>111</v>
      </c>
      <c r="R29" s="705" t="s">
        <v>14</v>
      </c>
      <c r="S29" s="706">
        <f t="shared" si="12"/>
        <v>100</v>
      </c>
      <c r="T29" s="705" t="s">
        <v>14</v>
      </c>
      <c r="U29" s="706">
        <f t="shared" si="13"/>
        <v>100</v>
      </c>
      <c r="V29" s="705" t="s">
        <v>14</v>
      </c>
      <c r="W29" s="706">
        <f t="shared" si="14"/>
        <v>100</v>
      </c>
      <c r="X29" s="1355"/>
      <c r="Y29" s="368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353">
        <f t="shared" si="5"/>
        <v>1</v>
      </c>
    </row>
    <row r="32" spans="1:29" ht="15">
      <c r="A32" s="391" t="s">
        <v>1692</v>
      </c>
      <c r="B32" s="63" t="s">
        <v>1782</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82" t="s">
        <v>1694</v>
      </c>
      <c r="Q32" s="1352" t="str">
        <f t="shared" si="11"/>
        <v>商业类型</v>
      </c>
      <c r="R32" s="705" t="s">
        <v>14</v>
      </c>
      <c r="S32" s="706">
        <f t="shared" si="12"/>
        <v>100</v>
      </c>
      <c r="T32" s="705" t="s">
        <v>14</v>
      </c>
      <c r="U32" s="706">
        <f t="shared" si="13"/>
        <v>100</v>
      </c>
      <c r="V32" s="705" t="s">
        <v>14</v>
      </c>
      <c r="W32" s="706">
        <f t="shared" si="14"/>
        <v>100</v>
      </c>
      <c r="X32" s="1355"/>
      <c r="Y32" s="3685" t="s">
        <v>1694</v>
      </c>
      <c r="Z32" s="1356" t="str">
        <f t="shared" si="15"/>
        <v>商业类型</v>
      </c>
      <c r="AA32" s="1353">
        <f t="shared" si="3"/>
        <v>1</v>
      </c>
      <c r="AB32" s="1353">
        <f t="shared" si="4"/>
        <v>1</v>
      </c>
      <c r="AC32" s="1353">
        <f t="shared" si="5"/>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83"/>
      <c r="Q33" s="707" t="str">
        <f t="shared" si="11"/>
        <v>项目建筑规模</v>
      </c>
      <c r="R33" s="708" t="s">
        <v>14</v>
      </c>
      <c r="S33" s="709">
        <f t="shared" si="12"/>
        <v>100</v>
      </c>
      <c r="T33" s="708" t="s">
        <v>14</v>
      </c>
      <c r="U33" s="709">
        <f t="shared" si="13"/>
        <v>100</v>
      </c>
      <c r="V33" s="708" t="s">
        <v>14</v>
      </c>
      <c r="W33" s="709">
        <f t="shared" si="14"/>
        <v>100</v>
      </c>
      <c r="X33" s="710"/>
      <c r="Y33" s="3685"/>
      <c r="Z33" s="711" t="str">
        <f t="shared" si="15"/>
        <v>项目建筑规模</v>
      </c>
      <c r="AA33" s="1353">
        <f t="shared" si="3"/>
        <v>1</v>
      </c>
      <c r="AB33" s="1353">
        <f t="shared" si="4"/>
        <v>1</v>
      </c>
      <c r="AC33" s="1353">
        <f t="shared" si="5"/>
        <v>1</v>
      </c>
    </row>
    <row r="34" spans="1:29" ht="15">
      <c r="A34" s="423"/>
      <c r="B34" s="375" t="s">
        <v>1696</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83"/>
      <c r="Q34" s="1352" t="str">
        <f t="shared" si="11"/>
        <v>建筑结构</v>
      </c>
      <c r="R34" s="705" t="s">
        <v>14</v>
      </c>
      <c r="S34" s="706">
        <f t="shared" si="12"/>
        <v>100</v>
      </c>
      <c r="T34" s="705" t="s">
        <v>14</v>
      </c>
      <c r="U34" s="706">
        <f t="shared" si="13"/>
        <v>100</v>
      </c>
      <c r="V34" s="705" t="s">
        <v>14</v>
      </c>
      <c r="W34" s="706">
        <f t="shared" si="14"/>
        <v>100</v>
      </c>
      <c r="X34" s="1355"/>
      <c r="Y34" s="3685"/>
      <c r="Z34" s="1356" t="str">
        <f t="shared" si="15"/>
        <v>建筑结构</v>
      </c>
      <c r="AA34" s="1353">
        <f t="shared" si="3"/>
        <v>1</v>
      </c>
      <c r="AB34" s="1353">
        <f t="shared" si="4"/>
        <v>1</v>
      </c>
      <c r="AC34" s="1353">
        <f t="shared" si="5"/>
        <v>1</v>
      </c>
    </row>
    <row r="35" spans="1:29" ht="15">
      <c r="A35" s="423"/>
      <c r="B35" s="375" t="s">
        <v>1783</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83"/>
      <c r="Q35" s="1352" t="str">
        <f t="shared" si="11"/>
        <v>公共部分装修</v>
      </c>
      <c r="R35" s="705" t="s">
        <v>14</v>
      </c>
      <c r="S35" s="706">
        <f t="shared" si="12"/>
        <v>100</v>
      </c>
      <c r="T35" s="705" t="s">
        <v>14</v>
      </c>
      <c r="U35" s="706">
        <f t="shared" si="13"/>
        <v>100</v>
      </c>
      <c r="V35" s="705" t="s">
        <v>14</v>
      </c>
      <c r="W35" s="706">
        <f t="shared" si="14"/>
        <v>100</v>
      </c>
      <c r="X35" s="1355"/>
      <c r="Y35" s="3685"/>
      <c r="Z35" s="1356" t="str">
        <f t="shared" si="15"/>
        <v>公共部分装修</v>
      </c>
      <c r="AA35" s="1353">
        <f t="shared" si="3"/>
        <v>1</v>
      </c>
      <c r="AB35" s="1353">
        <f t="shared" si="4"/>
        <v>1</v>
      </c>
      <c r="AC35" s="1353">
        <f t="shared" si="5"/>
        <v>1</v>
      </c>
    </row>
    <row r="36" spans="1:29" ht="15">
      <c r="A36" s="423"/>
      <c r="B36" s="375" t="s">
        <v>1784</v>
      </c>
      <c r="C36" s="425">
        <v>1</v>
      </c>
      <c r="D36" s="386">
        <v>100</v>
      </c>
      <c r="E36" s="425">
        <v>1</v>
      </c>
      <c r="F36" s="412">
        <f>LOOKUP(E36,110:110,111:111)-LOOKUP(C36,110:110,111:111)+100</f>
        <v>100</v>
      </c>
      <c r="G36" s="425">
        <v>1</v>
      </c>
      <c r="H36" s="412">
        <f>LOOKUP(G36,110:110,111:111)-LOOKUP(C36,110:110,111:111)+100</f>
        <v>100</v>
      </c>
      <c r="I36" s="425">
        <v>1</v>
      </c>
      <c r="J36" s="386">
        <f>LOOKUP(I36,110:110,111:111)-LOOKUP(C36,110:110,111:111)+100</f>
        <v>100</v>
      </c>
      <c r="K36" s="561"/>
      <c r="L36" s="2722"/>
      <c r="M36" s="2716"/>
      <c r="N36" s="2716"/>
      <c r="O36" s="2716"/>
      <c r="P36" s="3683"/>
      <c r="Q36" s="1352" t="str">
        <f t="shared" si="11"/>
        <v>成新度</v>
      </c>
      <c r="R36" s="705" t="s">
        <v>14</v>
      </c>
      <c r="S36" s="706">
        <f t="shared" si="12"/>
        <v>100</v>
      </c>
      <c r="T36" s="705" t="s">
        <v>14</v>
      </c>
      <c r="U36" s="706">
        <f t="shared" si="13"/>
        <v>100</v>
      </c>
      <c r="V36" s="705" t="s">
        <v>14</v>
      </c>
      <c r="W36" s="706">
        <f t="shared" si="14"/>
        <v>100</v>
      </c>
      <c r="X36" s="1355"/>
      <c r="Y36" s="3685"/>
      <c r="Z36" s="1356" t="str">
        <f t="shared" si="15"/>
        <v>成新度</v>
      </c>
      <c r="AA36" s="1353">
        <f t="shared" si="3"/>
        <v>1</v>
      </c>
      <c r="AB36" s="1353">
        <f t="shared" si="4"/>
        <v>1</v>
      </c>
      <c r="AC36" s="1353">
        <f t="shared" si="5"/>
        <v>1</v>
      </c>
    </row>
    <row r="37" spans="1:29" s="108" customFormat="1" ht="15">
      <c r="A37" s="424"/>
      <c r="B37" s="375" t="s">
        <v>1785</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83"/>
      <c r="Q37" s="1343" t="str">
        <f t="shared" si="11"/>
        <v>市政基础设施</v>
      </c>
      <c r="R37" s="701" t="s">
        <v>14</v>
      </c>
      <c r="S37" s="702">
        <f t="shared" si="12"/>
        <v>100</v>
      </c>
      <c r="T37" s="701" t="s">
        <v>14</v>
      </c>
      <c r="U37" s="702">
        <f t="shared" si="13"/>
        <v>100</v>
      </c>
      <c r="V37" s="701" t="s">
        <v>14</v>
      </c>
      <c r="W37" s="702">
        <f t="shared" si="14"/>
        <v>100</v>
      </c>
      <c r="X37" s="703"/>
      <c r="Y37" s="3685"/>
      <c r="Z37" s="52" t="str">
        <f t="shared" si="15"/>
        <v>市政基础设施</v>
      </c>
      <c r="AA37" s="704">
        <f t="shared" si="3"/>
        <v>1</v>
      </c>
      <c r="AB37" s="704">
        <f t="shared" si="4"/>
        <v>1</v>
      </c>
      <c r="AC37" s="704">
        <f t="shared" si="5"/>
        <v>1</v>
      </c>
    </row>
    <row r="38" spans="1:29" ht="15">
      <c r="A38" s="423"/>
      <c r="B38" s="375" t="s">
        <v>1786</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83" t="s">
        <v>1694</v>
      </c>
      <c r="Q38" s="1352" t="str">
        <f t="shared" si="11"/>
        <v>业态</v>
      </c>
      <c r="R38" s="705" t="s">
        <v>14</v>
      </c>
      <c r="S38" s="706">
        <f t="shared" si="12"/>
        <v>100</v>
      </c>
      <c r="T38" s="705" t="s">
        <v>14</v>
      </c>
      <c r="U38" s="706">
        <f t="shared" si="13"/>
        <v>100</v>
      </c>
      <c r="V38" s="705" t="s">
        <v>14</v>
      </c>
      <c r="W38" s="706">
        <f t="shared" si="14"/>
        <v>100</v>
      </c>
      <c r="X38" s="1355"/>
      <c r="Y38" s="3685" t="s">
        <v>1694</v>
      </c>
      <c r="Z38" s="1356" t="str">
        <f t="shared" si="15"/>
        <v>业态</v>
      </c>
      <c r="AA38" s="1353">
        <f t="shared" si="3"/>
        <v>1</v>
      </c>
      <c r="AB38" s="1353">
        <f t="shared" si="4"/>
        <v>1</v>
      </c>
      <c r="AC38" s="1353">
        <f t="shared" si="5"/>
        <v>1</v>
      </c>
    </row>
    <row r="39" spans="1:29" ht="15">
      <c r="A39" s="423"/>
      <c r="B39" s="375" t="s">
        <v>1787</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83"/>
      <c r="Q39" s="1352" t="str">
        <f t="shared" si="11"/>
        <v>层高</v>
      </c>
      <c r="R39" s="705" t="s">
        <v>14</v>
      </c>
      <c r="S39" s="706">
        <f t="shared" si="12"/>
        <v>100</v>
      </c>
      <c r="T39" s="705" t="s">
        <v>14</v>
      </c>
      <c r="U39" s="706">
        <f t="shared" si="13"/>
        <v>100</v>
      </c>
      <c r="V39" s="705" t="s">
        <v>14</v>
      </c>
      <c r="W39" s="706">
        <f t="shared" si="14"/>
        <v>100</v>
      </c>
      <c r="X39" s="1355"/>
      <c r="Y39" s="3685"/>
      <c r="Z39" s="1356" t="str">
        <f t="shared" si="15"/>
        <v>层高</v>
      </c>
      <c r="AA39" s="1353">
        <f t="shared" si="3"/>
        <v>1</v>
      </c>
      <c r="AB39" s="1353">
        <f t="shared" si="4"/>
        <v>1</v>
      </c>
      <c r="AC39" s="1353">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83"/>
      <c r="Q40" s="1352" t="str">
        <f t="shared" si="11"/>
        <v>单套建筑面积</v>
      </c>
      <c r="R40" s="705" t="s">
        <v>14</v>
      </c>
      <c r="S40" s="706">
        <f t="shared" si="12"/>
        <v>100</v>
      </c>
      <c r="T40" s="705" t="s">
        <v>14</v>
      </c>
      <c r="U40" s="706">
        <f t="shared" si="13"/>
        <v>100</v>
      </c>
      <c r="V40" s="705" t="s">
        <v>14</v>
      </c>
      <c r="W40" s="706">
        <f t="shared" si="14"/>
        <v>100</v>
      </c>
      <c r="X40" s="1355"/>
      <c r="Y40" s="3685"/>
      <c r="Z40" s="1356" t="str">
        <f t="shared" si="15"/>
        <v>单套建筑面积</v>
      </c>
      <c r="AA40" s="1353">
        <f t="shared" si="3"/>
        <v>1</v>
      </c>
      <c r="AB40" s="1353">
        <f t="shared" si="4"/>
        <v>1</v>
      </c>
      <c r="AC40" s="1353">
        <f t="shared" si="5"/>
        <v>1</v>
      </c>
    </row>
    <row r="41" spans="1:29" s="422" customFormat="1" ht="15">
      <c r="A41" s="419"/>
      <c r="B41" s="1354"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83"/>
      <c r="Q41" s="707" t="str">
        <f t="shared" si="11"/>
        <v>进深比</v>
      </c>
      <c r="R41" s="708" t="s">
        <v>14</v>
      </c>
      <c r="S41" s="709">
        <f t="shared" si="12"/>
        <v>100</v>
      </c>
      <c r="T41" s="708" t="s">
        <v>14</v>
      </c>
      <c r="U41" s="709">
        <f t="shared" si="13"/>
        <v>100</v>
      </c>
      <c r="V41" s="708" t="s">
        <v>14</v>
      </c>
      <c r="W41" s="709">
        <f t="shared" si="14"/>
        <v>100</v>
      </c>
      <c r="X41" s="710"/>
      <c r="Y41" s="3685"/>
      <c r="Z41" s="711" t="str">
        <f t="shared" si="15"/>
        <v>进深比</v>
      </c>
      <c r="AA41" s="1353">
        <f t="shared" si="3"/>
        <v>1</v>
      </c>
      <c r="AB41" s="1353">
        <f t="shared" si="4"/>
        <v>1</v>
      </c>
      <c r="AC41" s="1353">
        <f t="shared" si="5"/>
        <v>1</v>
      </c>
    </row>
    <row r="42" spans="1:29" ht="15">
      <c r="A42" s="423"/>
      <c r="B42" s="375" t="s">
        <v>1790</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83"/>
      <c r="Q42" s="1352" t="str">
        <f t="shared" si="11"/>
        <v>内部装修</v>
      </c>
      <c r="R42" s="705" t="s">
        <v>14</v>
      </c>
      <c r="S42" s="706">
        <f t="shared" si="12"/>
        <v>100</v>
      </c>
      <c r="T42" s="705" t="s">
        <v>14</v>
      </c>
      <c r="U42" s="706">
        <f t="shared" si="13"/>
        <v>100</v>
      </c>
      <c r="V42" s="705" t="s">
        <v>14</v>
      </c>
      <c r="W42" s="706">
        <f t="shared" si="14"/>
        <v>100</v>
      </c>
      <c r="X42" s="1355"/>
      <c r="Y42" s="3685"/>
      <c r="Z42" s="1356" t="str">
        <f t="shared" si="15"/>
        <v>内部装修</v>
      </c>
      <c r="AA42" s="1353">
        <f t="shared" si="3"/>
        <v>1</v>
      </c>
      <c r="AB42" s="1353">
        <f t="shared" si="4"/>
        <v>1</v>
      </c>
      <c r="AC42" s="1353">
        <f t="shared" si="5"/>
        <v>1</v>
      </c>
    </row>
    <row r="43" spans="1:29" ht="15">
      <c r="A43" s="423"/>
      <c r="B43" s="375" t="s">
        <v>1705</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83"/>
      <c r="Q43" s="1352" t="str">
        <f t="shared" si="11"/>
        <v>内部装修维护情况</v>
      </c>
      <c r="R43" s="705" t="s">
        <v>14</v>
      </c>
      <c r="S43" s="706">
        <f t="shared" si="12"/>
        <v>100</v>
      </c>
      <c r="T43" s="705" t="s">
        <v>14</v>
      </c>
      <c r="U43" s="706">
        <f t="shared" si="13"/>
        <v>100</v>
      </c>
      <c r="V43" s="705" t="s">
        <v>14</v>
      </c>
      <c r="W43" s="706">
        <f t="shared" si="14"/>
        <v>100</v>
      </c>
      <c r="X43" s="1355"/>
      <c r="Y43" s="368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83"/>
      <c r="Q44" s="1343">
        <f t="shared" si="11"/>
        <v>111</v>
      </c>
      <c r="R44" s="701" t="s">
        <v>14</v>
      </c>
      <c r="S44" s="702">
        <f t="shared" si="12"/>
        <v>100</v>
      </c>
      <c r="T44" s="701" t="s">
        <v>14</v>
      </c>
      <c r="U44" s="702">
        <f t="shared" si="13"/>
        <v>100</v>
      </c>
      <c r="V44" s="701" t="s">
        <v>14</v>
      </c>
      <c r="W44" s="702">
        <f t="shared" si="14"/>
        <v>100</v>
      </c>
      <c r="X44" s="703"/>
      <c r="Y44" s="368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83"/>
      <c r="Q45" s="1352">
        <f t="shared" si="11"/>
        <v>111</v>
      </c>
      <c r="R45" s="705" t="s">
        <v>14</v>
      </c>
      <c r="S45" s="706">
        <f t="shared" si="12"/>
        <v>100</v>
      </c>
      <c r="T45" s="705" t="s">
        <v>14</v>
      </c>
      <c r="U45" s="706">
        <f t="shared" si="13"/>
        <v>100</v>
      </c>
      <c r="V45" s="705" t="s">
        <v>14</v>
      </c>
      <c r="W45" s="706">
        <f t="shared" si="14"/>
        <v>100</v>
      </c>
      <c r="X45" s="1355"/>
      <c r="Y45" s="368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84"/>
      <c r="Q46" s="1352">
        <f t="shared" si="11"/>
        <v>111</v>
      </c>
      <c r="R46" s="705" t="s">
        <v>14</v>
      </c>
      <c r="S46" s="706">
        <f t="shared" si="12"/>
        <v>100</v>
      </c>
      <c r="T46" s="705" t="s">
        <v>14</v>
      </c>
      <c r="U46" s="706">
        <f t="shared" si="13"/>
        <v>100</v>
      </c>
      <c r="V46" s="705" t="s">
        <v>14</v>
      </c>
      <c r="W46" s="706">
        <f t="shared" si="14"/>
        <v>100</v>
      </c>
      <c r="X46" s="1355"/>
      <c r="Y46" s="3686"/>
      <c r="Z46" s="1356">
        <f t="shared" si="15"/>
        <v>111</v>
      </c>
      <c r="AA46" s="1353">
        <f t="shared" si="3"/>
        <v>1</v>
      </c>
      <c r="AB46" s="1353">
        <f t="shared" si="4"/>
        <v>1</v>
      </c>
      <c r="AC46" s="1353">
        <f t="shared" si="5"/>
        <v>1</v>
      </c>
    </row>
    <row r="47" spans="1:29" ht="15">
      <c r="A47" s="430" t="s">
        <v>1706</v>
      </c>
      <c r="B47" s="431"/>
      <c r="C47" s="1154" t="s">
        <v>0</v>
      </c>
      <c r="D47" s="1155"/>
      <c r="E47" s="1156">
        <v>94010</v>
      </c>
      <c r="F47" s="1157"/>
      <c r="G47" s="1158">
        <v>80482</v>
      </c>
      <c r="H47" s="1159"/>
      <c r="I47" s="1156">
        <v>72251</v>
      </c>
      <c r="J47" s="1159"/>
      <c r="K47" s="714"/>
      <c r="L47" s="2724"/>
      <c r="M47" s="2725"/>
      <c r="N47" s="2716"/>
      <c r="O47" s="2725"/>
      <c r="P47" s="3673" t="str">
        <f>A47</f>
        <v>成交单价（元/平方米）</v>
      </c>
      <c r="Q47" s="3673"/>
      <c r="R47" s="3687">
        <f>E47</f>
        <v>94010</v>
      </c>
      <c r="S47" s="3687"/>
      <c r="T47" s="3687">
        <f>G47</f>
        <v>80482</v>
      </c>
      <c r="U47" s="3687"/>
      <c r="V47" s="3687">
        <f>I47</f>
        <v>72251</v>
      </c>
      <c r="W47" s="3687"/>
      <c r="X47" s="690"/>
      <c r="Y47" s="712"/>
      <c r="Z47" s="690"/>
      <c r="AA47" s="690"/>
      <c r="AB47" s="690"/>
      <c r="AC47" s="690"/>
    </row>
    <row r="48" spans="1:29" ht="15.75" thickBot="1">
      <c r="A48" s="437" t="s">
        <v>1791</v>
      </c>
      <c r="B48" s="438"/>
      <c r="C48" s="1160">
        <f>R49</f>
        <v>117497</v>
      </c>
      <c r="D48" s="2317" t="s">
        <v>2136</v>
      </c>
      <c r="E48" s="1161">
        <f>R48</f>
        <v>134300</v>
      </c>
      <c r="F48" s="2318"/>
      <c r="G48" s="1160">
        <f>T48</f>
        <v>114974</v>
      </c>
      <c r="H48" s="2318"/>
      <c r="I48" s="1161">
        <f>V48</f>
        <v>103216</v>
      </c>
      <c r="J48" s="2318"/>
      <c r="K48" s="2320">
        <f>F48+H48+J48</f>
        <v>0</v>
      </c>
      <c r="L48" s="2724"/>
      <c r="M48" s="2725"/>
      <c r="N48" s="2716"/>
      <c r="O48" s="2725"/>
      <c r="P48" s="3673" t="str">
        <f>A48</f>
        <v>比较价值（元/平方米）</v>
      </c>
      <c r="Q48" s="3673"/>
      <c r="R48" s="3674">
        <f>IF(F1="售价",ROUND(PRODUCT(R47,AA7:AA46),0),ROUND(PRODUCT(R47,AA7:AA46),1))</f>
        <v>134300</v>
      </c>
      <c r="S48" s="3674"/>
      <c r="T48" s="3674">
        <f>IF(F1="售价",ROUND(PRODUCT(T47,AB7:AB46),0),ROUND(PRODUCT(T47,AB7:AB46),1))</f>
        <v>114974</v>
      </c>
      <c r="U48" s="3674"/>
      <c r="V48" s="3674">
        <f>IF(F1="售价",ROUND(PRODUCT(V47,AC7:AC46),0),ROUND(PRODUCT(V47,AC7:AC46),1))</f>
        <v>103216</v>
      </c>
      <c r="W48" s="3674"/>
      <c r="X48" s="690"/>
      <c r="Y48" s="690"/>
      <c r="Z48" s="690"/>
      <c r="AA48" s="690"/>
      <c r="AB48" s="690"/>
      <c r="AC48" s="690"/>
    </row>
    <row r="49" spans="1:29" ht="15.75" thickBot="1">
      <c r="A49" s="441" t="s">
        <v>1792</v>
      </c>
      <c r="B49" s="442"/>
      <c r="C49" s="1163">
        <f>R49</f>
        <v>117497</v>
      </c>
      <c r="D49" s="1163"/>
      <c r="E49" s="1163"/>
      <c r="F49" s="1163"/>
      <c r="G49" s="1163"/>
      <c r="H49" s="1163"/>
      <c r="I49" s="1163"/>
      <c r="J49" s="1163"/>
      <c r="K49" s="715"/>
      <c r="L49" s="2724"/>
      <c r="M49" s="2725"/>
      <c r="N49" s="2716"/>
      <c r="O49" s="2725"/>
      <c r="P49" s="3675" t="str">
        <f>A49</f>
        <v>估价对象XX用房的比较价值（楼面单价，元/平方米）</v>
      </c>
      <c r="Q49" s="3676"/>
      <c r="R49" s="3677">
        <f>IF(F1="售价",ROUND(IF(D48="简单平均",AVERAGE(R48:V48),R48*F48+T48*H48+V48*J48),0),ROUND(IF(D48="简单平均",AVERAGE(R48:V48),R48*F48+T48*H48+V48*J48),1))</f>
        <v>117497</v>
      </c>
      <c r="S49" s="3677"/>
      <c r="T49" s="3677"/>
      <c r="U49" s="3677"/>
      <c r="V49" s="3677"/>
      <c r="W49" s="36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1793</v>
      </c>
      <c r="D52" s="447"/>
      <c r="E52" s="448">
        <f>IF(E47&lt;E48,E48/E47-1,E47/E48-1)</f>
        <v>0.4285714285714286</v>
      </c>
      <c r="F52" s="449" t="str">
        <f>IF(OR(E52&gt;=0.3,E52&lt;=-0.3),"超过30%","")</f>
        <v>超过30%</v>
      </c>
      <c r="G52" s="448">
        <f>IF(G47&lt;G48,G48/G47-1,G47/G48-1)</f>
        <v>0.42856787853184564</v>
      </c>
      <c r="H52" s="449" t="str">
        <f>IF(OR(G52&gt;=0.3,G52&lt;=-0.3),"超过30%","")</f>
        <v>超过30%</v>
      </c>
      <c r="I52" s="448">
        <f>IF(I47&lt;I48,I48/I47-1,I47/I48-1)</f>
        <v>0.42857538303968101</v>
      </c>
      <c r="J52" s="449" t="str">
        <f>IF(OR(I52&gt;=0.3,I52&lt;=-0.3),"超过30%","")</f>
        <v>超过30%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1794</v>
      </c>
      <c r="D53" s="450"/>
      <c r="E53" s="448">
        <f>IF(E48&lt;G48,G48/E48-1,E48/G48-1)</f>
        <v>0.16809017690956218</v>
      </c>
      <c r="F53" s="449" t="str">
        <f>IF(OR(E53&gt;=0.2,E53&lt;=-0.2),"超过20%","")</f>
        <v/>
      </c>
      <c r="G53" s="448">
        <f>IF(G48&lt;I48,I48/G48-1,G48/I48-1)</f>
        <v>0.11391644706247095</v>
      </c>
      <c r="H53" s="449" t="str">
        <f>IF(OR(G53&gt;=0.2,G53&lt;=-0.2),"超过20%","")</f>
        <v/>
      </c>
      <c r="I53" s="448">
        <f>IF(I48&lt;E48,E48/I48-1,I48/E48-1)</f>
        <v>0.30115485971167266</v>
      </c>
      <c r="J53" s="449" t="str">
        <f>IF(OR(I53&gt;=0.2,I53&lt;=-0.2),"超过20%","")</f>
        <v>超过20%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1795</v>
      </c>
      <c r="D54" s="450"/>
      <c r="E54" s="448">
        <f>IF(E47&lt;G47,G47/E47-1,E47/G47-1)</f>
        <v>0.16808727417310698</v>
      </c>
      <c r="F54" s="449" t="str">
        <f>IF(OR(E54&gt;=0.3,E54&lt;=-0.3),"超过30%","")</f>
        <v/>
      </c>
      <c r="G54" s="448">
        <f>IF(G47&lt;I47,I47/G47-1,G47/I47-1)</f>
        <v>0.11392229865330594</v>
      </c>
      <c r="H54" s="449" t="str">
        <f>IF(OR(G54&gt;=0.3,G54&lt;=-0.3),"超过30%","")</f>
        <v/>
      </c>
      <c r="I54" s="448">
        <f>IF(I47&lt;E47,E47/I47-1,I47/E47-1)</f>
        <v>0.3011584614745817</v>
      </c>
      <c r="J54" s="449" t="str">
        <f>IF(OR(I54&gt;=0.3,I54&lt;=-0.3),"超过30%","")</f>
        <v>超过30%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1796</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1677</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1714</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1679</v>
      </c>
      <c r="B61" s="459"/>
      <c r="C61" s="471" t="s">
        <v>1774</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1717</v>
      </c>
      <c r="B63" s="477" t="s">
        <v>1683</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1686</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1687</v>
      </c>
      <c r="C67" s="496" t="str">
        <f>C68&amp;"（含）"&amp;"-"&amp;D68</f>
        <v>0（含）-3</v>
      </c>
      <c r="D67" s="496" t="str">
        <f t="shared" ref="D67:L67" si="17">D68&amp;"（含）"&amp;"-"&amp;E68</f>
        <v>3（含）-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3</v>
      </c>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1688</v>
      </c>
      <c r="B76" s="477" t="s">
        <v>1718</v>
      </c>
      <c r="C76" s="522" t="s">
        <v>1719</v>
      </c>
      <c r="D76" s="522" t="s">
        <v>1720</v>
      </c>
      <c r="E76" s="522" t="s">
        <v>1721</v>
      </c>
      <c r="F76" s="522" t="s">
        <v>1722</v>
      </c>
      <c r="G76" s="522" t="s">
        <v>1723</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1724</v>
      </c>
      <c r="C78" s="527" t="s">
        <v>1719</v>
      </c>
      <c r="D78" s="527" t="s">
        <v>1720</v>
      </c>
      <c r="E78" s="527" t="s">
        <v>1721</v>
      </c>
      <c r="F78" s="527" t="s">
        <v>1722</v>
      </c>
      <c r="G78" s="527" t="s">
        <v>1723</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1725</v>
      </c>
      <c r="C80" s="527" t="s">
        <v>1719</v>
      </c>
      <c r="D80" s="527" t="s">
        <v>1720</v>
      </c>
      <c r="E80" s="527" t="s">
        <v>1721</v>
      </c>
      <c r="F80" s="527" t="s">
        <v>1722</v>
      </c>
      <c r="G80" s="527" t="s">
        <v>1723</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1777</v>
      </c>
      <c r="C82" s="608" t="s">
        <v>1797</v>
      </c>
      <c r="D82" s="608" t="s">
        <v>1798</v>
      </c>
      <c r="E82" s="608" t="s">
        <v>1799</v>
      </c>
      <c r="F82" s="608" t="s">
        <v>1800</v>
      </c>
      <c r="G82" s="608" t="s">
        <v>1801</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1731</v>
      </c>
      <c r="C84" s="527" t="s">
        <v>1719</v>
      </c>
      <c r="D84" s="527" t="s">
        <v>1720</v>
      </c>
      <c r="E84" s="527" t="s">
        <v>1721</v>
      </c>
      <c r="F84" s="527" t="s">
        <v>1722</v>
      </c>
      <c r="G84" s="527" t="s">
        <v>1723</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1802</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t="s">
        <v>3413</v>
      </c>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v>70</v>
      </c>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1692</v>
      </c>
      <c r="B100" s="477" t="s">
        <v>1803</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1735</v>
      </c>
      <c r="C102" s="527" t="str">
        <f>C103&amp;"(含)"&amp;"-"&amp;D103</f>
        <v>0(含)-100</v>
      </c>
      <c r="D102" s="527" t="str">
        <f t="shared" ref="D102:L102" si="23">D103&amp;"(含)"&amp;"-"&amp;E103</f>
        <v>100(含)-200</v>
      </c>
      <c r="E102" s="527" t="str">
        <f t="shared" si="23"/>
        <v>200(含)-300</v>
      </c>
      <c r="F102" s="527" t="str">
        <f t="shared" si="23"/>
        <v>300(含)-400</v>
      </c>
      <c r="G102" s="527" t="str">
        <f t="shared" si="23"/>
        <v>400(含)-500</v>
      </c>
      <c r="H102" s="527" t="str">
        <f t="shared" si="23"/>
        <v>500(含)-600</v>
      </c>
      <c r="I102" s="527" t="str">
        <f t="shared" si="23"/>
        <v>600(含)-700</v>
      </c>
      <c r="J102" s="527" t="str">
        <f t="shared" si="23"/>
        <v>700(含)-800</v>
      </c>
      <c r="K102" s="527" t="str">
        <f t="shared" si="23"/>
        <v>800(含)-900</v>
      </c>
      <c r="L102" s="527" t="str">
        <f t="shared" si="23"/>
        <v>900(含)-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200</v>
      </c>
      <c r="F103" s="544">
        <v>300</v>
      </c>
      <c r="G103" s="544">
        <v>400</v>
      </c>
      <c r="H103" s="544">
        <v>500</v>
      </c>
      <c r="I103" s="544">
        <v>600</v>
      </c>
      <c r="J103" s="544">
        <v>700</v>
      </c>
      <c r="K103" s="544">
        <v>800</v>
      </c>
      <c r="L103" s="544">
        <v>900</v>
      </c>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99</v>
      </c>
      <c r="E104" s="509">
        <v>98</v>
      </c>
      <c r="F104" s="485">
        <v>97</v>
      </c>
      <c r="G104" s="509">
        <v>96</v>
      </c>
      <c r="H104" s="485">
        <v>95</v>
      </c>
      <c r="I104" s="509">
        <v>94</v>
      </c>
      <c r="J104" s="485">
        <v>93</v>
      </c>
      <c r="K104" s="509">
        <v>92</v>
      </c>
      <c r="L104" s="485">
        <v>91</v>
      </c>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1736</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1738</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1740</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1804</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1805</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1806</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1807</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1742</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82" priority="21" stopIfTrue="1" operator="containsText" text="超过">
      <formula>NOT(ISERROR(SEARCH("超过",F52)))</formula>
    </cfRule>
  </conditionalFormatting>
  <conditionalFormatting sqref="H54">
    <cfRule type="containsText" dxfId="181" priority="19" stopIfTrue="1" operator="containsText" text="超过">
      <formula>NOT(ISERROR(SEARCH("超过",H54)))</formula>
    </cfRule>
  </conditionalFormatting>
  <conditionalFormatting sqref="F54">
    <cfRule type="containsText" dxfId="180" priority="18" stopIfTrue="1" operator="containsText" text="超过">
      <formula>NOT(ISERROR(SEARCH("超过",F54)))</formula>
    </cfRule>
  </conditionalFormatting>
  <conditionalFormatting sqref="F53 H53">
    <cfRule type="containsText" dxfId="179" priority="17" stopIfTrue="1" operator="containsText" text="超过">
      <formula>NOT(ISERROR(SEARCH("超过",F53)))</formula>
    </cfRule>
  </conditionalFormatting>
  <conditionalFormatting sqref="E52">
    <cfRule type="expression" dxfId="178" priority="16" stopIfTrue="1">
      <formula>$F$52="超过30%"</formula>
    </cfRule>
  </conditionalFormatting>
  <conditionalFormatting sqref="E53">
    <cfRule type="expression" dxfId="177" priority="15" stopIfTrue="1">
      <formula>$F$53="超过20%"</formula>
    </cfRule>
  </conditionalFormatting>
  <conditionalFormatting sqref="E54">
    <cfRule type="expression" dxfId="176" priority="14" stopIfTrue="1">
      <formula>$F$54="超过30%"</formula>
    </cfRule>
  </conditionalFormatting>
  <conditionalFormatting sqref="G54">
    <cfRule type="expression" dxfId="175" priority="13" stopIfTrue="1">
      <formula>$H$54="超过30%"</formula>
    </cfRule>
  </conditionalFormatting>
  <conditionalFormatting sqref="G52">
    <cfRule type="expression" dxfId="174" priority="12" stopIfTrue="1">
      <formula>$H$52="超过30%"</formula>
    </cfRule>
  </conditionalFormatting>
  <conditionalFormatting sqref="G53">
    <cfRule type="expression" dxfId="173" priority="11" stopIfTrue="1">
      <formula>$H$53="超过20%"</formula>
    </cfRule>
  </conditionalFormatting>
  <conditionalFormatting sqref="J52">
    <cfRule type="containsText" dxfId="172" priority="10" stopIfTrue="1" operator="containsText" text="超过">
      <formula>NOT(ISERROR(SEARCH("超过",J52)))</formula>
    </cfRule>
  </conditionalFormatting>
  <conditionalFormatting sqref="J54">
    <cfRule type="containsText" dxfId="171" priority="9" stopIfTrue="1" operator="containsText" text="超过">
      <formula>NOT(ISERROR(SEARCH("超过",J54)))</formula>
    </cfRule>
  </conditionalFormatting>
  <conditionalFormatting sqref="J53">
    <cfRule type="containsText" dxfId="170" priority="8" stopIfTrue="1" operator="containsText" text="超过">
      <formula>NOT(ISERROR(SEARCH("超过",J53)))</formula>
    </cfRule>
  </conditionalFormatting>
  <conditionalFormatting sqref="I52">
    <cfRule type="expression" dxfId="169" priority="7" stopIfTrue="1">
      <formula>$J$52="超过30%"</formula>
    </cfRule>
  </conditionalFormatting>
  <conditionalFormatting sqref="I53">
    <cfRule type="expression" dxfId="168" priority="6" stopIfTrue="1">
      <formula>$J$53="超过20%"</formula>
    </cfRule>
  </conditionalFormatting>
  <conditionalFormatting sqref="I54">
    <cfRule type="expression" dxfId="167" priority="5" stopIfTrue="1">
      <formula>$J$54="超过30%"</formula>
    </cfRule>
  </conditionalFormatting>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F7:F46 H7:H46 J7:J46">
    <cfRule type="cellIs" dxfId="16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3378</v>
      </c>
      <c r="D1" s="1362" t="s">
        <v>43</v>
      </c>
      <c r="E1" s="1363" t="s">
        <v>676</v>
      </c>
      <c r="F1" s="1062">
        <f ca="1">J53</f>
        <v>20.14</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876</v>
      </c>
      <c r="B2" s="3425">
        <f ca="1">ROUND(D2/10000,4)</f>
        <v>637.16669999999999</v>
      </c>
      <c r="C2" s="1387" t="s">
        <v>877</v>
      </c>
      <c r="D2" s="1471">
        <f ca="1">C40+J29+L46</f>
        <v>6371667</v>
      </c>
      <c r="E2" s="1388" t="s">
        <v>878</v>
      </c>
      <c r="F2" s="1389"/>
      <c r="G2" s="2706"/>
      <c r="H2" s="2695"/>
      <c r="I2" s="2695"/>
      <c r="J2" s="2695"/>
      <c r="K2" s="2696"/>
      <c r="L2" s="2695"/>
      <c r="M2" s="2695"/>
    </row>
    <row r="3" spans="1:37" ht="18" customHeight="1" thickBot="1">
      <c r="A3" s="1390" t="s">
        <v>879</v>
      </c>
      <c r="B3" s="1391">
        <f ca="1">IF(ISERROR(D2/F43),0,ROUND(D2/F43,0))</f>
        <v>60602</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886</v>
      </c>
      <c r="C5" s="1070">
        <f ca="1">C6+C10+C12</f>
        <v>553307</v>
      </c>
      <c r="D5" s="1364" t="s">
        <v>887</v>
      </c>
      <c r="E5" s="1071"/>
      <c r="F5" s="1072"/>
      <c r="G5" s="1384"/>
      <c r="H5" s="299">
        <v>1</v>
      </c>
      <c r="I5" s="300" t="s">
        <v>886</v>
      </c>
      <c r="J5" s="1070">
        <f ca="1">J6+J10+J12</f>
        <v>0</v>
      </c>
      <c r="K5" s="1364" t="s">
        <v>887</v>
      </c>
      <c r="L5" s="1071"/>
      <c r="M5" s="1072"/>
    </row>
    <row r="6" spans="1:37" ht="18" customHeight="1">
      <c r="A6" s="1069" t="s">
        <v>398</v>
      </c>
      <c r="B6" s="3670" t="s">
        <v>692</v>
      </c>
      <c r="C6" s="1074">
        <f ca="1">ROUND(F6*F8*F7*(1-F9),0)</f>
        <v>552616</v>
      </c>
      <c r="D6" s="155" t="s">
        <v>2104</v>
      </c>
      <c r="E6" s="302" t="s">
        <v>694</v>
      </c>
      <c r="F6" s="303">
        <f ca="1">INDIRECT("'数据-取费表'!u"&amp;$G$1)</f>
        <v>16</v>
      </c>
      <c r="G6" s="1384"/>
      <c r="H6" s="1069" t="s">
        <v>398</v>
      </c>
      <c r="I6" s="3670" t="s">
        <v>692</v>
      </c>
      <c r="J6" s="301">
        <f ca="1">ROUND(M6*M8*M7*(1-M9),0)</f>
        <v>0</v>
      </c>
      <c r="K6" s="1376" t="s">
        <v>2105</v>
      </c>
      <c r="L6" s="302" t="s">
        <v>694</v>
      </c>
      <c r="M6" s="303">
        <f ca="1">INDIRECT("'数据-取费表'!z"&amp;$G$1)</f>
        <v>0</v>
      </c>
    </row>
    <row r="7" spans="1:37" ht="18" customHeight="1">
      <c r="A7" s="1073"/>
      <c r="B7" s="3671"/>
      <c r="C7" s="1075"/>
      <c r="D7" s="307"/>
      <c r="E7" s="1076" t="s">
        <v>695</v>
      </c>
      <c r="F7" s="303">
        <f ca="1">IF(INDIRECT("'数据-取费表'!ah"&amp;$G$1)="",INDIRECT("'数据-取费表'!k"&amp;$G$1),INDIRECT("'数据-取费表'!ah"&amp;$G$1))</f>
        <v>105.14</v>
      </c>
      <c r="G7" s="1384"/>
      <c r="H7" s="304"/>
      <c r="I7" s="3671"/>
      <c r="J7" s="306"/>
      <c r="K7" s="307"/>
      <c r="L7" s="302" t="s">
        <v>695</v>
      </c>
      <c r="M7" s="303">
        <f ca="1">F7</f>
        <v>105.14</v>
      </c>
    </row>
    <row r="8" spans="1:37" ht="18" customHeight="1">
      <c r="A8" s="304"/>
      <c r="B8" s="3671"/>
      <c r="C8" s="306"/>
      <c r="D8" s="307"/>
      <c r="E8" s="302" t="s">
        <v>696</v>
      </c>
      <c r="F8" s="303">
        <f ca="1">INDIRECT("'数据-取费表'!ai"&amp;$G$1)</f>
        <v>365</v>
      </c>
      <c r="G8" s="1384"/>
      <c r="H8" s="304"/>
      <c r="I8" s="3671"/>
      <c r="J8" s="306"/>
      <c r="K8" s="307"/>
      <c r="L8" s="302" t="s">
        <v>696</v>
      </c>
      <c r="M8" s="303">
        <f ca="1">INDIRECT("'数据-取费表'!ai"&amp;$G$1)</f>
        <v>365</v>
      </c>
    </row>
    <row r="9" spans="1:37" ht="18" customHeight="1">
      <c r="A9" s="304"/>
      <c r="B9" s="3672"/>
      <c r="C9" s="306"/>
      <c r="D9" s="307"/>
      <c r="E9" s="302" t="s">
        <v>697</v>
      </c>
      <c r="F9" s="312">
        <f ca="1">INDIRECT("'数据-取费表'!w"&amp;$G$1)</f>
        <v>0.1</v>
      </c>
      <c r="G9" s="1384"/>
      <c r="H9" s="304"/>
      <c r="I9" s="3672"/>
      <c r="J9" s="306"/>
      <c r="K9" s="307"/>
      <c r="L9" s="313" t="s">
        <v>697</v>
      </c>
      <c r="M9" s="314">
        <f ca="1">INDIRECT("'数据-取费表'!ab"&amp;$G$1)</f>
        <v>0</v>
      </c>
    </row>
    <row r="10" spans="1:37" ht="18" customHeight="1">
      <c r="A10" s="1069" t="s">
        <v>402</v>
      </c>
      <c r="B10" s="1365" t="s">
        <v>698</v>
      </c>
      <c r="C10" s="316">
        <f ca="1">ROUND(IF(F10="押一",C6/12*F11,IF(F10="押二",C6/12*2*F11,IF(F10="押三",C6/12*3*F11,C11*F11))),0)</f>
        <v>691</v>
      </c>
      <c r="D10" s="1366" t="s">
        <v>2114</v>
      </c>
      <c r="E10" s="313" t="s">
        <v>699</v>
      </c>
      <c r="F10" s="1116" t="s">
        <v>3389</v>
      </c>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888232</v>
      </c>
      <c r="D13" s="1081" t="s">
        <v>703</v>
      </c>
      <c r="E13" s="1081" t="s">
        <v>704</v>
      </c>
      <c r="F13" s="1082">
        <f ca="1">INDIRECT("'数据-取费表'!y"&amp;$G$1)</f>
        <v>0.88</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630840</v>
      </c>
      <c r="D14" s="1345" t="s">
        <v>706</v>
      </c>
      <c r="E14" s="1342"/>
      <c r="F14" s="319"/>
      <c r="G14" s="1384"/>
      <c r="H14" s="982" t="s">
        <v>398</v>
      </c>
      <c r="I14" s="302" t="s">
        <v>707</v>
      </c>
      <c r="J14" s="21">
        <f ca="1">C29</f>
        <v>1009354</v>
      </c>
      <c r="K14" s="12"/>
      <c r="L14" s="807"/>
      <c r="M14" s="808"/>
    </row>
    <row r="15" spans="1:37" s="1397" customFormat="1" ht="18" customHeight="1" thickBot="1">
      <c r="A15" s="982" t="s">
        <v>399</v>
      </c>
      <c r="B15" s="302" t="s">
        <v>708</v>
      </c>
      <c r="C15" s="21">
        <f ca="1">ROUND(C14*F15,0)</f>
        <v>31542</v>
      </c>
      <c r="D15" s="320" t="s">
        <v>709</v>
      </c>
      <c r="E15" s="32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10094</v>
      </c>
      <c r="K16" s="1087" t="s">
        <v>713</v>
      </c>
      <c r="L16" s="1088"/>
      <c r="M16" s="1072"/>
    </row>
    <row r="17" spans="1:37" s="1397" customFormat="1" ht="18" customHeight="1">
      <c r="A17" s="982" t="s">
        <v>679</v>
      </c>
      <c r="B17" s="302" t="s">
        <v>714</v>
      </c>
      <c r="C17" s="21">
        <f ca="1">ROUND(F17*(F43+INDIRECT("'数据-取费表'!S"&amp;$G$1)),0)</f>
        <v>21028</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1345" t="s">
        <v>718</v>
      </c>
      <c r="L17" s="1344"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9463</v>
      </c>
      <c r="D18" s="302" t="s">
        <v>709</v>
      </c>
      <c r="E18" s="302" t="s">
        <v>710</v>
      </c>
      <c r="F18" s="322">
        <f>'数据-取费表'!B36</f>
        <v>1.4999999999999999E-2</v>
      </c>
      <c r="G18" s="1396"/>
      <c r="H18" s="982" t="s">
        <v>397</v>
      </c>
      <c r="I18" s="302" t="s">
        <v>721</v>
      </c>
      <c r="J18" s="21">
        <f ca="1">ROUND(J6*M18/(1+'数据-取费表'!C42),0)</f>
        <v>0</v>
      </c>
      <c r="K18" s="1344"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692873</v>
      </c>
      <c r="D19" s="131" t="s">
        <v>724</v>
      </c>
      <c r="E19" s="1360"/>
      <c r="F19" s="23"/>
      <c r="G19" s="1384"/>
      <c r="H19" s="982" t="s">
        <v>399</v>
      </c>
      <c r="I19" s="302" t="s">
        <v>725</v>
      </c>
      <c r="J19" s="21">
        <f ca="1">IF(K19="按租金收入计税",ROUND(J6*M19/(1+'数据-取费表'!C42),0),ROUND(C29*M19*0.7,0))</f>
        <v>0</v>
      </c>
      <c r="K19" s="1370" t="s">
        <v>3329</v>
      </c>
      <c r="L19" s="302" t="s">
        <v>710</v>
      </c>
      <c r="M19" s="322">
        <f>IF(K19="按租金收入计税",'数据-取费表'!B51,'数据-取费表'!B50)</f>
        <v>0.12</v>
      </c>
    </row>
    <row r="20" spans="1:37" s="1397" customFormat="1" ht="18" customHeight="1">
      <c r="A20" s="982" t="s">
        <v>402</v>
      </c>
      <c r="B20" s="302" t="s">
        <v>726</v>
      </c>
      <c r="C20" s="21">
        <f ca="1">ROUND(C19*F20,0)</f>
        <v>20786</v>
      </c>
      <c r="D20" s="323"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323"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1360"/>
      <c r="F22" s="23"/>
      <c r="G22" s="1384"/>
      <c r="H22" s="982" t="s">
        <v>402</v>
      </c>
      <c r="I22" s="302" t="s">
        <v>736</v>
      </c>
      <c r="J22" s="21">
        <f ca="1">ROUND(J14*M22,0)</f>
        <v>10094</v>
      </c>
      <c r="K22" s="1344"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24621</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1344" t="s">
        <v>741</v>
      </c>
      <c r="L23" s="302" t="s">
        <v>742</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743</v>
      </c>
      <c r="B24" s="302" t="s">
        <v>744</v>
      </c>
      <c r="C24" s="21">
        <f ca="1">ROUND(IF('数据-取费表'!B22&lt;=1,F21*F24*F23/2,F21*(POWER((1+F24),F23/2)-1)),4)</f>
        <v>1E-3</v>
      </c>
      <c r="D24" s="329" t="str">
        <f>IF(F23&lt;=1,"销售费用×利率×(建设周期÷2)","销售费用×((1+利率)^(建设周期÷2)-1)")</f>
        <v>销售费用×((1+利率)^(建设周期÷2)-1)</v>
      </c>
      <c r="E24" s="302" t="s">
        <v>745</v>
      </c>
      <c r="F24" s="331">
        <f ca="1">'数据-取费表'!B40</f>
        <v>3.4500000000000003E-2</v>
      </c>
      <c r="G24" s="1396"/>
      <c r="H24" s="1089" t="s">
        <v>682</v>
      </c>
      <c r="I24" s="1090" t="s">
        <v>726</v>
      </c>
      <c r="J24" s="1091">
        <f ca="1">ROUND(J5*M24,0)</f>
        <v>0</v>
      </c>
      <c r="K24" s="1092" t="s">
        <v>746</v>
      </c>
      <c r="L24" s="1090" t="s">
        <v>742</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1360"/>
      <c r="F25" s="23"/>
      <c r="G25" s="1384"/>
      <c r="H25" s="1079" t="s">
        <v>394</v>
      </c>
      <c r="I25" s="1094" t="s">
        <v>750</v>
      </c>
      <c r="J25" s="310">
        <f ca="1">J5-J16</f>
        <v>-10094</v>
      </c>
      <c r="K25" s="1095" t="s">
        <v>751</v>
      </c>
      <c r="L25" s="1096"/>
      <c r="M25" s="1097"/>
    </row>
    <row r="26" spans="1:37" ht="18" customHeight="1">
      <c r="A26" s="982" t="s">
        <v>397</v>
      </c>
      <c r="B26" s="302" t="s">
        <v>752</v>
      </c>
      <c r="C26" s="21">
        <f ca="1">ROUND((C19+C20)*F26,0)</f>
        <v>178415</v>
      </c>
      <c r="D26" s="323" t="s">
        <v>753</v>
      </c>
      <c r="E26" s="313" t="s">
        <v>754</v>
      </c>
      <c r="F26" s="312">
        <f ca="1">INDIRECT("'数据-取费表'!q"&amp;$G$1)</f>
        <v>0.25</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7.4999999999999997E-3</v>
      </c>
      <c r="D27" s="323" t="s">
        <v>759</v>
      </c>
      <c r="E27" s="32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323"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1009354</v>
      </c>
      <c r="D29" s="1092"/>
      <c r="E29" s="1090"/>
      <c r="F29" s="1093"/>
      <c r="G29" s="1396"/>
      <c r="H29" s="334" t="s">
        <v>396</v>
      </c>
      <c r="I29" s="335" t="s">
        <v>766</v>
      </c>
      <c r="J29" s="336">
        <f ca="1">ROUND(J26/(1+F40)^F41,0)</f>
        <v>0</v>
      </c>
      <c r="K29" s="337" t="s">
        <v>767</v>
      </c>
      <c r="L29" s="338"/>
      <c r="M29" s="339">
        <f ca="1">INDIRECT("'数据-取费表'!k"&amp;$G$1)</f>
        <v>105.14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109144</v>
      </c>
      <c r="D30" s="1087" t="s">
        <v>713</v>
      </c>
      <c r="E30" s="1088"/>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92629</v>
      </c>
      <c r="D31" s="1345" t="s">
        <v>718</v>
      </c>
      <c r="E31" s="1344" t="s">
        <v>768</v>
      </c>
      <c r="F31" s="2315" t="str">
        <f>IF(项目基本情况!B11="企业","——",IF(M47="住宅",IF(F6*F7*F8/12/(1+'数据-取费表'!F30)&gt;100000,4%,2.5%),IF(F6*F7*F8/12/(1+'数据-取费表'!F30)&gt;100000,12%,7%)))</f>
        <v>——</v>
      </c>
      <c r="G31" s="1384"/>
      <c r="H31" s="2808" t="s">
        <v>2299</v>
      </c>
      <c r="I31" s="1398"/>
      <c r="J31" s="1399"/>
      <c r="K31" s="2475"/>
      <c r="L31" s="2698"/>
      <c r="M31" s="2699"/>
    </row>
    <row r="32" spans="1:37" ht="18" customHeight="1">
      <c r="A32" s="982" t="s">
        <v>397</v>
      </c>
      <c r="B32" s="302" t="s">
        <v>721</v>
      </c>
      <c r="C32" s="21">
        <f ca="1">IF(项目基本情况!B11="自然人","——",ROUND(C6*F32/(1+'数据-取费表'!C42),0))</f>
        <v>29473</v>
      </c>
      <c r="D32" s="1344"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IF(项目基本情况!B11="自然人","——",IF(D33="按租金收入计税",ROUND(C6*F33/(1+'数据-取费表'!C42),0),IF(D33="按房产原值计税",ROUND(C29*F33*0.7,0),INDIRECT("'数据-取费表'!Aj"&amp;$G$1))))</f>
        <v>63156</v>
      </c>
      <c r="D33" s="1370" t="s">
        <v>3329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IF(项目基本情况!B11="自然人","——",ROUND(F34*F35,0))</f>
        <v>0</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10094</v>
      </c>
      <c r="D36" s="1344" t="s">
        <v>769</v>
      </c>
      <c r="E36" s="302" t="s">
        <v>710</v>
      </c>
      <c r="F36" s="328">
        <f ca="1">INDIRECT("'数据-取费表'!Ak"&amp;$G$1)</f>
        <v>0.01</v>
      </c>
      <c r="G36" s="1384"/>
      <c r="H36" s="2700"/>
      <c r="I36" s="1398"/>
      <c r="J36" s="1399"/>
      <c r="K36" s="2544"/>
      <c r="L36" s="2700"/>
      <c r="M36" s="2700"/>
    </row>
    <row r="37" spans="1:18" ht="18" customHeight="1">
      <c r="A37" s="982" t="s">
        <v>437</v>
      </c>
      <c r="B37" s="302" t="s">
        <v>740</v>
      </c>
      <c r="C37" s="21">
        <f ca="1">ROUND(C13*F37,0)</f>
        <v>888</v>
      </c>
      <c r="D37" s="1344" t="s">
        <v>741</v>
      </c>
      <c r="E37" s="302" t="s">
        <v>742</v>
      </c>
      <c r="F37" s="330">
        <f ca="1">INDIRECT("'数据-取费表'!Al"&amp;$G$1)</f>
        <v>1E-3</v>
      </c>
      <c r="G37" s="1384"/>
      <c r="H37" s="2700"/>
      <c r="I37" s="1398"/>
      <c r="J37" s="1399"/>
      <c r="K37" s="2544"/>
      <c r="L37" s="2700"/>
      <c r="M37" s="2700"/>
    </row>
    <row r="38" spans="1:18" ht="18" customHeight="1" thickBot="1">
      <c r="A38" s="1089" t="s">
        <v>682</v>
      </c>
      <c r="B38" s="1090" t="s">
        <v>726</v>
      </c>
      <c r="C38" s="1091">
        <f ca="1">ROUND(C5*F38,0)</f>
        <v>5533</v>
      </c>
      <c r="D38" s="1092" t="s">
        <v>746</v>
      </c>
      <c r="E38" s="1090" t="s">
        <v>742</v>
      </c>
      <c r="F38" s="1086">
        <f ca="1">INDIRECT("'数据-取费表'!Am"&amp;$G$1)</f>
        <v>0.01</v>
      </c>
      <c r="G38" s="1384"/>
      <c r="H38" s="2700"/>
      <c r="I38" s="1398"/>
      <c r="J38" s="1399"/>
      <c r="K38" s="2704"/>
      <c r="L38" s="2700"/>
      <c r="M38" s="2700"/>
    </row>
    <row r="39" spans="1:18" ht="24.6" customHeight="1" thickTop="1">
      <c r="A39" s="1079" t="s">
        <v>394</v>
      </c>
      <c r="B39" s="1094" t="s">
        <v>770</v>
      </c>
      <c r="C39" s="310">
        <f ca="1">C5-C30</f>
        <v>444163</v>
      </c>
      <c r="D39" s="1095" t="s">
        <v>771</v>
      </c>
      <c r="E39" s="1096"/>
      <c r="F39" s="1097"/>
      <c r="G39" s="1384"/>
      <c r="H39" s="2700"/>
      <c r="I39" s="1398">
        <f ca="1">C39/C6</f>
        <v>0.80374618179712498</v>
      </c>
      <c r="J39" s="1399"/>
      <c r="K39" s="2704"/>
      <c r="L39" s="2700"/>
      <c r="M39" s="2700"/>
    </row>
    <row r="40" spans="1:18" ht="18" customHeight="1">
      <c r="A40" s="299" t="s">
        <v>395</v>
      </c>
      <c r="B40" s="300" t="s">
        <v>772</v>
      </c>
      <c r="C40" s="301">
        <f ca="1">ROUND(C39*(1-((1+F42)/(1+F40))^F41)/(F40-F42),0)</f>
        <v>6257909</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20.14</v>
      </c>
      <c r="G41" s="1384"/>
      <c r="H41" s="1191"/>
      <c r="I41" s="1398"/>
      <c r="J41" s="1399"/>
      <c r="K41" s="2544"/>
      <c r="L41" s="1191"/>
      <c r="M41" s="1191"/>
    </row>
    <row r="42" spans="1:18" ht="18" customHeight="1">
      <c r="A42" s="308"/>
      <c r="B42" s="309"/>
      <c r="C42" s="310"/>
      <c r="D42" s="327"/>
      <c r="E42" s="302" t="s">
        <v>764</v>
      </c>
      <c r="F42" s="312">
        <f ca="1">INDIRECT("'数据-取费表'!v"&amp;$G$1)</f>
        <v>0.02</v>
      </c>
      <c r="G42" s="1384"/>
      <c r="H42" s="1191"/>
      <c r="I42" s="1398"/>
      <c r="J42" s="1399"/>
      <c r="K42" s="2544"/>
      <c r="L42" s="1191"/>
      <c r="M42" s="1191"/>
    </row>
    <row r="43" spans="1:18" ht="18" customHeight="1" thickBot="1">
      <c r="A43" s="334" t="s">
        <v>396</v>
      </c>
      <c r="B43" s="335" t="s">
        <v>774</v>
      </c>
      <c r="C43" s="336">
        <f ca="1">ROUND(C40/F43,0)</f>
        <v>59520</v>
      </c>
      <c r="D43" s="337" t="s">
        <v>775</v>
      </c>
      <c r="E43" s="338" t="s">
        <v>776</v>
      </c>
      <c r="F43" s="339">
        <f ca="1">INDIRECT("'数据-取费表'!k"&amp;$G$1)</f>
        <v>105.14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3345</v>
      </c>
      <c r="B45" s="1400"/>
      <c r="C45" s="1472">
        <f ca="1">ROUND((C68-C40)/10000,4)</f>
        <v>-638.96590000000003</v>
      </c>
      <c r="D45" s="3432" t="s">
        <v>3346</v>
      </c>
      <c r="E45" s="1400"/>
      <c r="F45" s="1400"/>
      <c r="O45" s="1403" t="s">
        <v>806</v>
      </c>
      <c r="P45" s="1461"/>
      <c r="Q45" s="1461"/>
      <c r="R45" s="1461"/>
    </row>
    <row r="46" spans="1:18" s="1384" customFormat="1" ht="13.5" thickBot="1">
      <c r="A46" s="1404" t="s">
        <v>807</v>
      </c>
      <c r="C46" s="1405">
        <f ca="1">ROUND(C45,0)</f>
        <v>-639</v>
      </c>
      <c r="D46" s="1406" t="str">
        <f>C2</f>
        <v>万元</v>
      </c>
      <c r="I46" s="1407" t="s">
        <v>808</v>
      </c>
      <c r="J46" s="1408"/>
      <c r="K46" s="1409"/>
      <c r="L46" s="1410">
        <f ca="1">IF(M47="住宅",0,IF(L48&gt;J51,L60,J60))</f>
        <v>113758</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3390</v>
      </c>
      <c r="K47" s="1416" t="s">
        <v>814</v>
      </c>
      <c r="L47" s="1417">
        <f ca="1">INDIRECT("'数据-取费表'!d"&amp;$G$1)</f>
        <v>40</v>
      </c>
      <c r="M47" s="1380" t="str">
        <f>IF(ISNUMBER(FIND("住宅",C1)),"住宅","非住宅")</f>
        <v>非住宅</v>
      </c>
      <c r="O47" s="1418" t="s">
        <v>403</v>
      </c>
      <c r="P47" s="1419" t="s">
        <v>815</v>
      </c>
      <c r="Q47" s="1420">
        <f ca="1">C40+J29</f>
        <v>6257909</v>
      </c>
      <c r="R47" s="1420" t="s">
        <v>816</v>
      </c>
    </row>
    <row r="48" spans="1:18" s="1384" customFormat="1" ht="28.5" thickBot="1">
      <c r="A48" s="1110" t="s">
        <v>438</v>
      </c>
      <c r="B48" s="300" t="s">
        <v>690</v>
      </c>
      <c r="C48" s="1359">
        <f ca="1">C49+C53+C55</f>
        <v>0</v>
      </c>
      <c r="D48" s="1112"/>
      <c r="E48" s="1113"/>
      <c r="F48" s="962"/>
      <c r="G48" s="722"/>
      <c r="H48" s="723"/>
      <c r="I48" s="1421" t="s">
        <v>817</v>
      </c>
      <c r="J48" s="1422" t="s">
        <v>3391</v>
      </c>
      <c r="K48" s="1423" t="s">
        <v>818</v>
      </c>
      <c r="L48" s="1424">
        <f ca="1">INDIRECT("'数据-取费表'!f"&amp;$G$1)</f>
        <v>20.14</v>
      </c>
      <c r="O48" s="1418" t="s">
        <v>404</v>
      </c>
      <c r="P48" s="1419" t="s">
        <v>819</v>
      </c>
      <c r="Q48" s="1420">
        <f ca="1">J60</f>
        <v>113758</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2016</v>
      </c>
      <c r="K49" s="1423" t="s">
        <v>822</v>
      </c>
      <c r="L49" s="1427"/>
      <c r="O49" s="1428" t="s">
        <v>405</v>
      </c>
      <c r="P49" s="1419" t="s">
        <v>823</v>
      </c>
      <c r="Q49" s="1420">
        <f ca="1">C29</f>
        <v>1009354</v>
      </c>
      <c r="R49" s="1420" t="s">
        <v>816</v>
      </c>
    </row>
    <row r="50" spans="1:18" s="1384" customFormat="1" ht="13.5" thickBot="1">
      <c r="A50" s="976"/>
      <c r="B50" s="979"/>
      <c r="C50" s="980"/>
      <c r="D50" s="953"/>
      <c r="E50" s="1056" t="s">
        <v>695</v>
      </c>
      <c r="F50" s="1057">
        <f ca="1">F7</f>
        <v>105.14</v>
      </c>
      <c r="H50" s="723"/>
      <c r="I50" s="1421" t="s">
        <v>824</v>
      </c>
      <c r="J50" s="1429">
        <f>SUMPRODUCT((I63:I65=J47)*(J62:L62=J48)*(J63:L65))</f>
        <v>60</v>
      </c>
      <c r="K50" s="1423" t="s">
        <v>825</v>
      </c>
      <c r="L50" s="1427"/>
      <c r="M50" s="1430"/>
      <c r="O50" s="1428" t="s">
        <v>406</v>
      </c>
      <c r="P50" s="1419" t="s">
        <v>826</v>
      </c>
      <c r="Q50" s="1431">
        <f ca="1">J58</f>
        <v>0.53100000000000003</v>
      </c>
      <c r="R50" s="1420"/>
    </row>
    <row r="51" spans="1:18" s="1384" customFormat="1" ht="13.5" thickBot="1">
      <c r="A51" s="977"/>
      <c r="B51" s="979"/>
      <c r="C51" s="980"/>
      <c r="D51" s="953"/>
      <c r="E51" s="981" t="s">
        <v>696</v>
      </c>
      <c r="F51" s="303">
        <f ca="1">F8</f>
        <v>365</v>
      </c>
      <c r="I51" s="1432" t="s">
        <v>827</v>
      </c>
      <c r="J51" s="1433">
        <f>IF(J49="",J50,J49+J50-YEAR('数据-取费表'!B2))</f>
        <v>52</v>
      </c>
      <c r="K51" s="1434" t="s">
        <v>828</v>
      </c>
      <c r="L51" s="1435">
        <f ca="1">ROUND(-PV(INDIRECT("'数据-取费表'!h"&amp;$G$1),J51,(C39-C13*C76),0),0)</f>
        <v>7035460</v>
      </c>
      <c r="M51" s="1436"/>
      <c r="O51" s="1428" t="s">
        <v>407</v>
      </c>
      <c r="P51" s="1419" t="s">
        <v>829</v>
      </c>
      <c r="Q51" s="1431">
        <f>J52</f>
        <v>0.08</v>
      </c>
      <c r="R51" s="1420"/>
    </row>
    <row r="52" spans="1:18" s="1384" customFormat="1" ht="13.5" thickBot="1">
      <c r="A52" s="977"/>
      <c r="B52" s="979"/>
      <c r="C52" s="980"/>
      <c r="D52" s="953"/>
      <c r="E52" s="981" t="s">
        <v>697</v>
      </c>
      <c r="F52" s="1054"/>
      <c r="I52" s="1437" t="s">
        <v>830</v>
      </c>
      <c r="J52" s="1438">
        <v>0.08</v>
      </c>
      <c r="K52" s="1437" t="s">
        <v>831</v>
      </c>
      <c r="L52" s="1438"/>
      <c r="O52" s="1428" t="s">
        <v>408</v>
      </c>
      <c r="P52" s="1419" t="s">
        <v>832</v>
      </c>
      <c r="Q52" s="1420">
        <f ca="1">J53</f>
        <v>20.14</v>
      </c>
      <c r="R52" s="1420" t="s">
        <v>833</v>
      </c>
    </row>
    <row r="53" spans="1:18" s="1384" customFormat="1" ht="30.75" customHeight="1" thickBot="1">
      <c r="A53" s="1111" t="s">
        <v>440</v>
      </c>
      <c r="B53" s="323"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20.14</v>
      </c>
      <c r="K53" s="3668" t="s">
        <v>835</v>
      </c>
      <c r="L53" s="3669"/>
      <c r="O53" s="1418" t="s">
        <v>409</v>
      </c>
      <c r="P53" s="1419" t="s">
        <v>836</v>
      </c>
      <c r="Q53" s="1420">
        <f ca="1">Q47+Q48</f>
        <v>6371667</v>
      </c>
      <c r="R53" s="1420" t="s">
        <v>410</v>
      </c>
    </row>
    <row r="54" spans="1:18" s="1384" customFormat="1" ht="13.5" thickBot="1">
      <c r="A54" s="975"/>
      <c r="B54" s="1473" t="s">
        <v>889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1374"/>
      <c r="F55" s="1440"/>
      <c r="I55" s="1443" t="s">
        <v>838</v>
      </c>
      <c r="J55" s="1444">
        <f ca="1">ROUND(IF(J47="钢混",J57/J50,1-(1-2%)*(J50-J57)/J50),3)</f>
        <v>0.53100000000000003</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888232</v>
      </c>
      <c r="D56" s="1447"/>
      <c r="E56" s="1448"/>
      <c r="F56" s="1440"/>
      <c r="I56" s="1449" t="s">
        <v>840</v>
      </c>
      <c r="J56" s="1450" t="s">
        <v>3392</v>
      </c>
      <c r="K56" s="1421" t="s">
        <v>841</v>
      </c>
      <c r="L56" s="1424" t="str">
        <f ca="1">IF(L48&lt;J51,"——",L48-J51)</f>
        <v>——</v>
      </c>
      <c r="O56" s="1418" t="s">
        <v>403</v>
      </c>
      <c r="P56" s="1419" t="s">
        <v>815</v>
      </c>
      <c r="Q56" s="1420">
        <f ca="1">C40+J29</f>
        <v>6257909</v>
      </c>
      <c r="R56" s="1420" t="s">
        <v>816</v>
      </c>
    </row>
    <row r="57" spans="1:18" s="1384" customFormat="1" ht="24.75" thickBot="1">
      <c r="A57" s="1451"/>
      <c r="B57" s="950" t="s">
        <v>765</v>
      </c>
      <c r="C57" s="238">
        <f ca="1">C29</f>
        <v>1009354</v>
      </c>
      <c r="D57" s="1452"/>
      <c r="E57" s="1453"/>
      <c r="F57" s="1454"/>
      <c r="I57" s="1455" t="s">
        <v>842</v>
      </c>
      <c r="J57" s="1456">
        <f ca="1">IF(OR(M47="住宅",J51&lt;L48,J56="是"),"——",J51-L48)</f>
        <v>31.86</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10982</v>
      </c>
      <c r="D58" s="960" t="s">
        <v>713</v>
      </c>
      <c r="E58" s="961"/>
      <c r="F58" s="962"/>
      <c r="I58" s="1455" t="s">
        <v>846</v>
      </c>
      <c r="J58" s="1457">
        <f ca="1">IF(J55&lt;0.4,0.4,J55)</f>
        <v>0.53100000000000003</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535967</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113758</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3329</v>
      </c>
      <c r="E61" s="950" t="s">
        <v>781</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784</v>
      </c>
      <c r="E62" s="950" t="s">
        <v>785</v>
      </c>
      <c r="F62" s="325">
        <f t="shared" si="0"/>
        <v>0</v>
      </c>
      <c r="I62" s="1462" t="s">
        <v>856</v>
      </c>
      <c r="J62" s="1463" t="s">
        <v>857</v>
      </c>
      <c r="K62" s="1463" t="s">
        <v>858</v>
      </c>
      <c r="L62" s="1463" t="s">
        <v>859</v>
      </c>
      <c r="M62" s="1464" t="s">
        <v>860</v>
      </c>
      <c r="O62" s="1418" t="s">
        <v>409</v>
      </c>
      <c r="P62" s="1419" t="s">
        <v>861</v>
      </c>
      <c r="Q62" s="1420">
        <f ca="1">Q56+Q57</f>
        <v>6257909</v>
      </c>
      <c r="R62" s="1420" t="s">
        <v>410</v>
      </c>
    </row>
    <row r="63" spans="1:18" s="1384" customFormat="1" ht="13.5" thickBot="1">
      <c r="A63" s="326"/>
      <c r="B63" s="956"/>
      <c r="C63" s="26"/>
      <c r="D63" s="966"/>
      <c r="E63" s="950" t="s">
        <v>786</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10094</v>
      </c>
      <c r="D64" s="964" t="s">
        <v>789</v>
      </c>
      <c r="E64" s="950" t="s">
        <v>781</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888</v>
      </c>
      <c r="D65" s="964" t="s">
        <v>741</v>
      </c>
      <c r="E65" s="950" t="s">
        <v>742</v>
      </c>
      <c r="F65" s="330">
        <f t="shared" ca="1" si="0"/>
        <v>1E-3</v>
      </c>
      <c r="I65" s="1462" t="s">
        <v>865</v>
      </c>
      <c r="J65" s="1463">
        <v>40</v>
      </c>
      <c r="K65" s="1463">
        <v>30</v>
      </c>
      <c r="L65" s="1463">
        <v>50</v>
      </c>
      <c r="M65" s="1465">
        <v>0.02</v>
      </c>
      <c r="O65" s="1418" t="s">
        <v>403</v>
      </c>
      <c r="P65" s="1419" t="s">
        <v>866</v>
      </c>
      <c r="Q65" s="1420">
        <f ca="1">C40+J29</f>
        <v>6257909</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-10982</v>
      </c>
      <c r="D67" s="963" t="s">
        <v>751</v>
      </c>
      <c r="E67" s="968"/>
      <c r="F67" s="969"/>
      <c r="O67" s="1428" t="s">
        <v>405</v>
      </c>
      <c r="P67" s="1419" t="s">
        <v>848</v>
      </c>
      <c r="Q67" s="1466">
        <f ca="1">L51</f>
        <v>7035460</v>
      </c>
      <c r="R67" s="1420" t="s">
        <v>868</v>
      </c>
    </row>
    <row r="68" spans="1:18" s="1384" customFormat="1" ht="16.5" thickBot="1">
      <c r="A68" s="947" t="s">
        <v>395</v>
      </c>
      <c r="B68" s="948" t="s">
        <v>772</v>
      </c>
      <c r="C68" s="301">
        <f ca="1">ROUND(C67*(1-((1+F70)/(1+F68))^F69)/(F68-F70),0)</f>
        <v>-131750</v>
      </c>
      <c r="D68" s="965" t="s">
        <v>756</v>
      </c>
      <c r="E68" s="950" t="s">
        <v>757</v>
      </c>
      <c r="F68" s="312">
        <f ca="1">F40</f>
        <v>5.5E-2</v>
      </c>
      <c r="O68" s="1428" t="s">
        <v>406</v>
      </c>
      <c r="P68" s="1467" t="s">
        <v>869</v>
      </c>
      <c r="Q68" s="1420">
        <f ca="1">ROUND(Q69-Q70*Q71,0)</f>
        <v>381987</v>
      </c>
      <c r="R68" s="1420" t="s">
        <v>414</v>
      </c>
    </row>
    <row r="69" spans="1:18" s="1384" customFormat="1" ht="13.5" thickBot="1">
      <c r="A69" s="951"/>
      <c r="B69" s="952"/>
      <c r="C69" s="306"/>
      <c r="D69" s="970" t="s">
        <v>760</v>
      </c>
      <c r="E69" s="950" t="s">
        <v>761</v>
      </c>
      <c r="F69" s="333">
        <f ca="1">F41</f>
        <v>20.14</v>
      </c>
      <c r="O69" s="1428" t="s">
        <v>411</v>
      </c>
      <c r="P69" s="1467" t="s">
        <v>870</v>
      </c>
      <c r="Q69" s="1420">
        <f ca="1">C39</f>
        <v>444163</v>
      </c>
      <c r="R69" s="1420" t="s">
        <v>816</v>
      </c>
    </row>
    <row r="70" spans="1:18" s="1384" customFormat="1" ht="13.5" thickBot="1">
      <c r="A70" s="954"/>
      <c r="B70" s="955"/>
      <c r="C70" s="310"/>
      <c r="D70" s="966"/>
      <c r="E70" s="950" t="s">
        <v>764</v>
      </c>
      <c r="F70" s="1054"/>
      <c r="O70" s="1428" t="s">
        <v>412</v>
      </c>
      <c r="P70" s="1467" t="s">
        <v>871</v>
      </c>
      <c r="Q70" s="1420">
        <f ca="1">C13</f>
        <v>888232</v>
      </c>
      <c r="R70" s="1420" t="s">
        <v>816</v>
      </c>
    </row>
    <row r="71" spans="1:18" s="1384" customFormat="1" ht="13.5" thickBot="1">
      <c r="A71" s="971" t="s">
        <v>396</v>
      </c>
      <c r="B71" s="972" t="s">
        <v>774</v>
      </c>
      <c r="C71" s="336">
        <f ca="1">ROUND(C68/F71,0)</f>
        <v>-1253</v>
      </c>
      <c r="D71" s="973" t="s">
        <v>775</v>
      </c>
      <c r="E71" s="974" t="s">
        <v>776</v>
      </c>
      <c r="F71" s="339">
        <f ca="1">F43</f>
        <v>105.14</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62176</v>
      </c>
      <c r="D75" s="1384"/>
      <c r="E75" s="1384"/>
      <c r="F75" s="1384"/>
      <c r="K75" s="1402"/>
      <c r="L75" s="1384"/>
      <c r="O75" s="1418" t="s">
        <v>409</v>
      </c>
      <c r="P75" s="1419" t="s">
        <v>836</v>
      </c>
      <c r="Q75" s="1420">
        <f ca="1">Q65+Q66</f>
        <v>6257909</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0.86</v>
      </c>
    </row>
    <row r="80" spans="1:18">
      <c r="B80" s="340" t="s">
        <v>798</v>
      </c>
      <c r="C80" s="274">
        <f ca="1">ROUND(C75/C39,3)</f>
        <v>0.14000000000000001</v>
      </c>
    </row>
    <row r="81" spans="2:3">
      <c r="B81" s="270" t="s">
        <v>799</v>
      </c>
      <c r="C81" s="238"/>
    </row>
    <row r="82" spans="2:3">
      <c r="B82" s="273" t="s">
        <v>800</v>
      </c>
      <c r="C82" s="275">
        <f ca="1">1-C83</f>
        <v>0.85799999999999998</v>
      </c>
    </row>
    <row r="83" spans="2:3">
      <c r="B83" s="273" t="s">
        <v>801</v>
      </c>
      <c r="C83" s="274">
        <f ca="1">ROUND(C13/C40,3)</f>
        <v>0.14199999999999999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2428</v>
      </c>
      <c r="B1" s="2832"/>
      <c r="C1" s="2844"/>
      <c r="D1" s="2844"/>
      <c r="E1" s="2833"/>
      <c r="F1" s="2834"/>
      <c r="G1" s="2835"/>
      <c r="J1" s="2838" t="s">
        <v>2307</v>
      </c>
      <c r="K1" s="2839"/>
      <c r="L1" s="2839"/>
      <c r="M1" s="2839"/>
      <c r="N1" s="2839"/>
      <c r="O1" s="2839"/>
      <c r="P1" s="2839"/>
      <c r="Q1" s="2839"/>
      <c r="R1" s="2840"/>
      <c r="S1" s="2841"/>
      <c r="T1" s="2841"/>
      <c r="U1" s="2841"/>
    </row>
    <row r="2" spans="1:22" s="2853" customFormat="1" ht="13.15" customHeight="1">
      <c r="A2" s="1385" t="s">
        <v>2308</v>
      </c>
      <c r="B2" s="2843" t="e">
        <f>IF(D2="——",C40,C40+E2)</f>
        <v>#DIV/0!</v>
      </c>
      <c r="C2" s="2844" t="s">
        <v>2309</v>
      </c>
      <c r="D2" s="3443" t="s">
        <v>3352</v>
      </c>
      <c r="E2" s="3444"/>
      <c r="F2" s="2846"/>
      <c r="G2" s="2847"/>
      <c r="H2" s="2848"/>
      <c r="I2" s="2849"/>
      <c r="J2" s="3725" t="s">
        <v>2310</v>
      </c>
      <c r="K2" s="3726"/>
      <c r="L2" s="2850" t="s">
        <v>2311</v>
      </c>
      <c r="M2" s="2850" t="s">
        <v>2312</v>
      </c>
      <c r="N2" s="2850" t="s">
        <v>2313</v>
      </c>
      <c r="O2" s="2850" t="s">
        <v>2314</v>
      </c>
      <c r="P2" s="2850" t="s">
        <v>2315</v>
      </c>
      <c r="Q2" s="2851" t="s">
        <v>2316</v>
      </c>
      <c r="R2" s="2852" t="s">
        <v>2317</v>
      </c>
      <c r="S2" s="2841"/>
      <c r="T2" s="2841"/>
      <c r="U2" s="2841"/>
      <c r="V2" s="2849"/>
    </row>
    <row r="3" spans="1:22" s="2853" customFormat="1" ht="13.15" customHeight="1">
      <c r="A3" s="2854" t="s">
        <v>2318</v>
      </c>
      <c r="B3" s="2855" t="e">
        <f>ROUND(B2*10000/B4,0)</f>
        <v>#DIV/0!</v>
      </c>
      <c r="C3" s="2844" t="s">
        <v>2319</v>
      </c>
      <c r="D3" s="2844"/>
      <c r="E3" s="2845"/>
      <c r="F3" s="2846"/>
      <c r="G3" s="2847"/>
      <c r="H3" s="2848"/>
      <c r="I3" s="2849"/>
      <c r="J3" s="3727" t="s">
        <v>2320</v>
      </c>
      <c r="K3" s="3728"/>
      <c r="L3" s="2856"/>
      <c r="M3" s="2856"/>
      <c r="N3" s="2856"/>
      <c r="O3" s="2856"/>
      <c r="P3" s="2856"/>
      <c r="Q3" s="2857"/>
      <c r="R3" s="2858">
        <f>SUM(L3:Q3)</f>
        <v>0</v>
      </c>
      <c r="S3" s="2841"/>
      <c r="T3" s="2841"/>
      <c r="U3" s="2841"/>
      <c r="V3" s="2849"/>
    </row>
    <row r="4" spans="1:22" s="2853" customFormat="1" ht="13.15" customHeight="1">
      <c r="A4" s="2859" t="s">
        <v>2321</v>
      </c>
      <c r="B4" s="2860"/>
      <c r="C4" s="2844"/>
      <c r="D4" s="2844"/>
      <c r="E4" s="2845"/>
      <c r="F4" s="2846"/>
      <c r="G4" s="2847"/>
      <c r="H4" s="2848"/>
      <c r="I4" s="2849"/>
      <c r="J4" s="3727" t="s">
        <v>2322</v>
      </c>
      <c r="K4" s="3728"/>
      <c r="L4" s="2861"/>
      <c r="M4" s="2861"/>
      <c r="N4" s="2861"/>
      <c r="O4" s="2861"/>
      <c r="P4" s="2861"/>
      <c r="Q4" s="2862"/>
      <c r="R4" s="2863">
        <f>SUM(L4:Q4)</f>
        <v>0</v>
      </c>
      <c r="S4" s="2841"/>
      <c r="T4" s="2841"/>
      <c r="U4" s="2841"/>
      <c r="V4" s="2849"/>
    </row>
    <row r="5" spans="1:22" s="2853" customFormat="1" ht="13.15" customHeight="1" thickBot="1">
      <c r="A5" s="2864" t="s">
        <v>2323</v>
      </c>
      <c r="B5" s="2865"/>
      <c r="C5" s="2844"/>
      <c r="D5" s="2866"/>
      <c r="E5" s="2846"/>
      <c r="F5" s="2846"/>
      <c r="G5" s="2847"/>
      <c r="H5" s="2848"/>
      <c r="I5" s="2849"/>
      <c r="J5" s="2867" t="s">
        <v>2324</v>
      </c>
      <c r="K5" s="2868"/>
      <c r="L5" s="2868"/>
      <c r="M5" s="2869"/>
      <c r="N5" s="2869"/>
      <c r="O5" s="2869"/>
      <c r="P5" s="2869"/>
      <c r="Q5" s="2869"/>
      <c r="R5" s="2852">
        <f>SUM(R14,R19,R24,R25,R27,R28)</f>
        <v>0</v>
      </c>
      <c r="S5" s="2841"/>
      <c r="T5" s="2841" t="s">
        <v>2325</v>
      </c>
      <c r="U5" s="2841" t="e">
        <f>ROUND(R5*10000/365/R3,1)</f>
        <v>#DIV/0!</v>
      </c>
      <c r="V5" s="2849"/>
    </row>
    <row r="6" spans="1:22" s="2853" customFormat="1" ht="13.15" customHeight="1" thickBot="1">
      <c r="A6" s="3733" t="s">
        <v>2326</v>
      </c>
      <c r="B6" s="3734"/>
      <c r="C6" s="3735"/>
      <c r="D6" s="2870"/>
      <c r="E6" s="2871"/>
      <c r="F6" s="2872"/>
      <c r="G6" s="2873"/>
      <c r="H6" s="2848"/>
      <c r="I6" s="2849"/>
      <c r="J6" s="3719">
        <v>1</v>
      </c>
      <c r="K6" s="3720" t="s">
        <v>2327</v>
      </c>
      <c r="L6" s="2874" t="s">
        <v>2328</v>
      </c>
      <c r="M6" s="2875" t="s">
        <v>2329</v>
      </c>
      <c r="N6" s="2875" t="s">
        <v>2330</v>
      </c>
      <c r="O6" s="2875" t="s">
        <v>2331</v>
      </c>
      <c r="P6" s="2875" t="s">
        <v>2332</v>
      </c>
      <c r="Q6" s="2875" t="s">
        <v>2333</v>
      </c>
      <c r="R6" s="2858" t="s">
        <v>2334</v>
      </c>
      <c r="S6" s="2841"/>
      <c r="T6" s="2841" t="s">
        <v>2335</v>
      </c>
      <c r="U6" s="2841"/>
      <c r="V6" s="2849"/>
    </row>
    <row r="7" spans="1:22" s="2853" customFormat="1" ht="13.15" customHeight="1">
      <c r="A7" s="2876" t="s">
        <v>2336</v>
      </c>
      <c r="B7" s="2877"/>
      <c r="C7" s="2878"/>
      <c r="D7" s="2879">
        <f>SUM(D9,D10,D11,D17,0)</f>
        <v>0</v>
      </c>
      <c r="E7" s="2880" t="e">
        <f>E9+E10+E11+E17</f>
        <v>#DIV/0!</v>
      </c>
      <c r="F7" s="2881"/>
      <c r="G7" s="2882"/>
      <c r="H7" s="2848"/>
      <c r="I7" s="2849"/>
      <c r="J7" s="3719"/>
      <c r="K7" s="3721"/>
      <c r="L7" s="2883" t="s">
        <v>2337</v>
      </c>
      <c r="M7" s="2884"/>
      <c r="N7" s="2860"/>
      <c r="O7" s="2885"/>
      <c r="P7" s="2885"/>
      <c r="Q7" s="2886">
        <v>365</v>
      </c>
      <c r="R7" s="2887">
        <f>ROUND(M7*N7*O7*P7*Q7/10000,0)</f>
        <v>0</v>
      </c>
      <c r="S7" s="2841"/>
      <c r="T7" s="2841" t="s">
        <v>2338</v>
      </c>
      <c r="U7" s="2841"/>
      <c r="V7" s="2849"/>
    </row>
    <row r="8" spans="1:22" s="2853" customFormat="1" ht="13.15" customHeight="1">
      <c r="A8" s="2888" t="s">
        <v>2339</v>
      </c>
      <c r="B8" s="3736" t="s">
        <v>2340</v>
      </c>
      <c r="C8" s="3737"/>
      <c r="D8" s="2889" t="s">
        <v>2341</v>
      </c>
      <c r="E8" s="2890" t="s">
        <v>2342</v>
      </c>
      <c r="F8" s="2891" t="s">
        <v>2343</v>
      </c>
      <c r="G8" s="2892"/>
      <c r="H8" s="2848"/>
      <c r="I8" s="2849"/>
      <c r="J8" s="3719"/>
      <c r="K8" s="3721"/>
      <c r="L8" s="2883" t="s">
        <v>2344</v>
      </c>
      <c r="M8" s="2884"/>
      <c r="N8" s="2860"/>
      <c r="O8" s="2885"/>
      <c r="P8" s="2885"/>
      <c r="Q8" s="2886">
        <v>365</v>
      </c>
      <c r="R8" s="2887">
        <f t="shared" ref="R8:R13" si="0">ROUND(M8*N8*O8*P8*Q8/10000,0)</f>
        <v>0</v>
      </c>
      <c r="S8" s="2841"/>
      <c r="T8" s="2841" t="s">
        <v>2345</v>
      </c>
      <c r="U8" s="2841"/>
      <c r="V8" s="2849"/>
    </row>
    <row r="9" spans="1:22" s="2853" customFormat="1" ht="13.15" customHeight="1">
      <c r="A9" s="2888">
        <v>1</v>
      </c>
      <c r="B9" s="3736" t="s">
        <v>2346</v>
      </c>
      <c r="C9" s="3737"/>
      <c r="D9" s="2889">
        <f>ROUND(D6*E9,0)</f>
        <v>0</v>
      </c>
      <c r="E9" s="2893"/>
      <c r="F9" s="2894" t="s">
        <v>2347</v>
      </c>
      <c r="G9" s="2873"/>
      <c r="H9" s="2848"/>
      <c r="I9" s="2849"/>
      <c r="J9" s="3719"/>
      <c r="K9" s="3721"/>
      <c r="L9" s="2883" t="s">
        <v>2348</v>
      </c>
      <c r="M9" s="2884"/>
      <c r="N9" s="2860"/>
      <c r="O9" s="2885"/>
      <c r="P9" s="2885"/>
      <c r="Q9" s="2886">
        <v>365</v>
      </c>
      <c r="R9" s="2887">
        <f t="shared" si="0"/>
        <v>0</v>
      </c>
      <c r="S9" s="2841"/>
      <c r="T9" s="2841"/>
      <c r="U9" s="2841"/>
      <c r="V9" s="2849"/>
    </row>
    <row r="10" spans="1:22" s="2853" customFormat="1" ht="13.15" customHeight="1">
      <c r="A10" s="2888">
        <v>2</v>
      </c>
      <c r="B10" s="3736" t="s">
        <v>2349</v>
      </c>
      <c r="C10" s="3737"/>
      <c r="D10" s="2889">
        <f>ROUND(D6*E10,0)</f>
        <v>0</v>
      </c>
      <c r="E10" s="2893"/>
      <c r="F10" s="2894" t="s">
        <v>2350</v>
      </c>
      <c r="G10" s="2873"/>
      <c r="H10" s="2848"/>
      <c r="I10" s="2849"/>
      <c r="J10" s="3719"/>
      <c r="K10" s="3721"/>
      <c r="L10" s="2883" t="s">
        <v>2351</v>
      </c>
      <c r="M10" s="2884"/>
      <c r="N10" s="2860"/>
      <c r="O10" s="2885"/>
      <c r="P10" s="2885"/>
      <c r="Q10" s="2886">
        <v>365</v>
      </c>
      <c r="R10" s="2887">
        <f t="shared" si="0"/>
        <v>0</v>
      </c>
      <c r="S10" s="2841"/>
      <c r="T10" s="2841"/>
      <c r="U10" s="2841"/>
      <c r="V10" s="2849"/>
    </row>
    <row r="11" spans="1:22" s="2853" customFormat="1" ht="13.15" customHeight="1">
      <c r="A11" s="2888">
        <v>3</v>
      </c>
      <c r="B11" s="3736" t="s">
        <v>2352</v>
      </c>
      <c r="C11" s="3737"/>
      <c r="D11" s="2889">
        <f>D12+D14+D15+D16</f>
        <v>0</v>
      </c>
      <c r="E11" s="2895" t="e">
        <f>D11/D6</f>
        <v>#DIV/0!</v>
      </c>
      <c r="F11" s="2891"/>
      <c r="G11" s="2892"/>
      <c r="H11" s="2848"/>
      <c r="I11" s="2849"/>
      <c r="J11" s="3719"/>
      <c r="K11" s="3721"/>
      <c r="L11" s="2883" t="s">
        <v>2353</v>
      </c>
      <c r="M11" s="2884"/>
      <c r="N11" s="2860"/>
      <c r="O11" s="2885"/>
      <c r="P11" s="2885"/>
      <c r="Q11" s="2886">
        <v>365</v>
      </c>
      <c r="R11" s="2887">
        <f t="shared" si="0"/>
        <v>0</v>
      </c>
      <c r="S11" s="2841"/>
      <c r="T11" s="2841"/>
      <c r="U11" s="2841"/>
      <c r="V11" s="2849"/>
    </row>
    <row r="12" spans="1:22" s="2853" customFormat="1" ht="13.15" customHeight="1">
      <c r="A12" s="2896" t="s">
        <v>2354</v>
      </c>
      <c r="B12" s="3729" t="s">
        <v>2355</v>
      </c>
      <c r="C12" s="3730"/>
      <c r="D12" s="2897">
        <f>ROUND(D13*1.2%*(1-30%),0)</f>
        <v>0</v>
      </c>
      <c r="E12" s="2898">
        <v>1.2E-2</v>
      </c>
      <c r="F12" s="2891" t="s">
        <v>2356</v>
      </c>
      <c r="G12" s="2892"/>
      <c r="H12" s="2848"/>
      <c r="I12" s="2849"/>
      <c r="J12" s="3719"/>
      <c r="K12" s="3721"/>
      <c r="L12" s="2883" t="s">
        <v>2357</v>
      </c>
      <c r="M12" s="2884"/>
      <c r="N12" s="2860"/>
      <c r="O12" s="2885"/>
      <c r="P12" s="2885"/>
      <c r="Q12" s="2886">
        <v>365</v>
      </c>
      <c r="R12" s="2887">
        <f t="shared" si="0"/>
        <v>0</v>
      </c>
      <c r="S12" s="2841"/>
      <c r="T12" s="2841"/>
      <c r="U12" s="2841"/>
      <c r="V12" s="2849"/>
    </row>
    <row r="13" spans="1:22" s="2853" customFormat="1" ht="13.15" customHeight="1">
      <c r="A13" s="2896"/>
      <c r="B13" s="2899"/>
      <c r="C13" s="2900" t="s">
        <v>2358</v>
      </c>
      <c r="D13" s="2901"/>
      <c r="E13" s="2902"/>
      <c r="F13" s="2891"/>
      <c r="G13" s="2892"/>
      <c r="H13" s="2848"/>
      <c r="I13" s="2849"/>
      <c r="J13" s="3719"/>
      <c r="K13" s="3721"/>
      <c r="L13" s="2883" t="s">
        <v>2359</v>
      </c>
      <c r="M13" s="2884"/>
      <c r="N13" s="2860"/>
      <c r="O13" s="2885"/>
      <c r="P13" s="2885"/>
      <c r="Q13" s="2886">
        <v>365</v>
      </c>
      <c r="R13" s="2887">
        <f t="shared" si="0"/>
        <v>0</v>
      </c>
      <c r="S13" s="2841"/>
      <c r="T13" s="2841"/>
      <c r="U13" s="2841"/>
      <c r="V13" s="2849"/>
    </row>
    <row r="14" spans="1:22" s="2853" customFormat="1" ht="13.15" customHeight="1">
      <c r="A14" s="2896" t="s">
        <v>2360</v>
      </c>
      <c r="B14" s="3729" t="s">
        <v>2361</v>
      </c>
      <c r="C14" s="3730"/>
      <c r="D14" s="2897">
        <f>ROUND(E14*B5/10000,0)</f>
        <v>0</v>
      </c>
      <c r="E14" s="2886"/>
      <c r="F14" s="2891" t="s">
        <v>2362</v>
      </c>
      <c r="G14" s="2892"/>
      <c r="H14" s="2848"/>
      <c r="I14" s="2849"/>
      <c r="J14" s="3719"/>
      <c r="K14" s="3722"/>
      <c r="L14" s="2903" t="s">
        <v>2363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2364</v>
      </c>
      <c r="B15" s="3729" t="s">
        <v>2365</v>
      </c>
      <c r="C15" s="3730"/>
      <c r="D15" s="2897">
        <f>ROUND(D6*E15,0)</f>
        <v>0</v>
      </c>
      <c r="E15" s="2898">
        <v>5.5E-2</v>
      </c>
      <c r="F15" s="2891" t="s">
        <v>2366</v>
      </c>
      <c r="G15" s="2873"/>
      <c r="H15" s="2848"/>
      <c r="I15" s="2849"/>
      <c r="J15" s="3719">
        <v>2</v>
      </c>
      <c r="K15" s="3720" t="s">
        <v>2367</v>
      </c>
      <c r="L15" s="2883" t="s">
        <v>2368</v>
      </c>
      <c r="M15" s="2884" t="s">
        <v>2369</v>
      </c>
      <c r="N15" s="2884" t="s">
        <v>2370</v>
      </c>
      <c r="O15" s="2885" t="s">
        <v>2371</v>
      </c>
      <c r="P15" s="2885" t="s">
        <v>2333</v>
      </c>
      <c r="Q15" s="2860" t="s">
        <v>2372</v>
      </c>
      <c r="R15" s="2907" t="s">
        <v>2334</v>
      </c>
      <c r="S15" s="2841"/>
      <c r="T15" s="2841"/>
      <c r="U15" s="2841"/>
      <c r="V15" s="2849"/>
    </row>
    <row r="16" spans="1:22" s="2853" customFormat="1" ht="13.15" customHeight="1">
      <c r="A16" s="2896" t="s">
        <v>2373</v>
      </c>
      <c r="B16" s="3729" t="s">
        <v>2374</v>
      </c>
      <c r="C16" s="3730"/>
      <c r="D16" s="2908">
        <f>D6*E16</f>
        <v>0</v>
      </c>
      <c r="E16" s="2909"/>
      <c r="F16" s="2894" t="s">
        <v>2375</v>
      </c>
      <c r="G16" s="2873"/>
      <c r="H16" s="2848"/>
      <c r="I16" s="2849"/>
      <c r="J16" s="3719"/>
      <c r="K16" s="3721"/>
      <c r="L16" s="2883" t="s">
        <v>2376</v>
      </c>
      <c r="M16" s="2884"/>
      <c r="N16" s="2884"/>
      <c r="O16" s="2885"/>
      <c r="P16" s="2886">
        <v>365</v>
      </c>
      <c r="Q16" s="2860"/>
      <c r="R16" s="2907">
        <f>ROUND(M16*N16*O16*P16/10000,0)</f>
        <v>0</v>
      </c>
      <c r="S16" s="2841"/>
      <c r="T16" s="2841"/>
      <c r="U16" s="2841"/>
      <c r="V16" s="2849"/>
    </row>
    <row r="17" spans="1:22" s="2853" customFormat="1" ht="13.15" customHeight="1" thickBot="1">
      <c r="A17" s="2910">
        <v>4</v>
      </c>
      <c r="B17" s="3731" t="s">
        <v>2377</v>
      </c>
      <c r="C17" s="3732"/>
      <c r="D17" s="2911">
        <f>ROUND(D6*E17,0)</f>
        <v>0</v>
      </c>
      <c r="E17" s="2912"/>
      <c r="F17" s="2913" t="s">
        <v>2378</v>
      </c>
      <c r="G17" s="2873"/>
      <c r="H17" s="2848"/>
      <c r="I17" s="2849"/>
      <c r="J17" s="3719"/>
      <c r="K17" s="3721"/>
      <c r="L17" s="2883" t="s">
        <v>2379</v>
      </c>
      <c r="M17" s="2884"/>
      <c r="N17" s="2884"/>
      <c r="O17" s="2885"/>
      <c r="P17" s="2886">
        <v>365</v>
      </c>
      <c r="Q17" s="2860"/>
      <c r="R17" s="2907">
        <f>ROUND(M17*N17*O17*P17/10000,0)</f>
        <v>0</v>
      </c>
      <c r="S17" s="2841"/>
      <c r="T17" s="2841"/>
      <c r="U17" s="2841"/>
      <c r="V17" s="2849"/>
    </row>
    <row r="18" spans="1:22" s="2853" customFormat="1" ht="13.15" customHeight="1" thickBot="1">
      <c r="A18" s="2876" t="s">
        <v>2380</v>
      </c>
      <c r="B18" s="2877"/>
      <c r="C18" s="2877"/>
      <c r="D18" s="2914">
        <f>ROUND(D6*E18,0)</f>
        <v>0</v>
      </c>
      <c r="E18" s="2915"/>
      <c r="F18" s="2916" t="s">
        <v>2381</v>
      </c>
      <c r="G18" s="2873"/>
      <c r="H18" s="2848"/>
      <c r="I18" s="2849"/>
      <c r="J18" s="3719"/>
      <c r="K18" s="3721"/>
      <c r="L18" s="2883" t="s">
        <v>2382</v>
      </c>
      <c r="M18" s="2884"/>
      <c r="N18" s="2884"/>
      <c r="O18" s="2885"/>
      <c r="P18" s="2886">
        <v>365</v>
      </c>
      <c r="Q18" s="2860"/>
      <c r="R18" s="2907">
        <f>ROUND(M18*N18*O18*P18/10000,0)</f>
        <v>0</v>
      </c>
      <c r="S18" s="2841"/>
      <c r="T18" s="2841"/>
      <c r="U18" s="2841"/>
      <c r="V18" s="2849"/>
    </row>
    <row r="19" spans="1:22" s="2853" customFormat="1" ht="13.15" customHeight="1" thickBot="1">
      <c r="A19" s="2917" t="s">
        <v>2383</v>
      </c>
      <c r="B19" s="2871"/>
      <c r="C19" s="2871"/>
      <c r="D19" s="2871"/>
      <c r="E19" s="2871"/>
      <c r="F19" s="2872"/>
      <c r="G19" s="2892"/>
      <c r="H19" s="2848"/>
      <c r="I19" s="2849"/>
      <c r="J19" s="3719"/>
      <c r="K19" s="3722"/>
      <c r="L19" s="2903" t="s">
        <v>2363</v>
      </c>
      <c r="M19" s="2904"/>
      <c r="N19" s="2904">
        <f>SUM(N16:N18)</f>
        <v>0</v>
      </c>
      <c r="O19" s="2905"/>
      <c r="P19" s="2918" t="s">
        <v>2427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9">
        <v>3</v>
      </c>
      <c r="K20" s="3720" t="s">
        <v>2384</v>
      </c>
      <c r="L20" s="2883" t="s">
        <v>2385</v>
      </c>
      <c r="M20" s="2884" t="s">
        <v>2386</v>
      </c>
      <c r="N20" s="2921" t="s">
        <v>2387</v>
      </c>
      <c r="O20" s="2885" t="s">
        <v>2388</v>
      </c>
      <c r="P20" s="2886" t="s">
        <v>2389</v>
      </c>
      <c r="Q20" s="2860" t="s">
        <v>2390</v>
      </c>
      <c r="R20" s="2907" t="s">
        <v>2391</v>
      </c>
      <c r="S20" s="2922"/>
      <c r="T20" s="2922"/>
      <c r="U20" s="2922"/>
      <c r="V20" s="2849"/>
    </row>
    <row r="21" spans="1:22" s="2853" customFormat="1" ht="13.15" customHeight="1">
      <c r="A21" s="2876"/>
      <c r="B21" s="2877"/>
      <c r="C21" s="2923" t="s">
        <v>2392</v>
      </c>
      <c r="D21" s="2924" t="s">
        <v>2393</v>
      </c>
      <c r="E21" s="2925" t="s">
        <v>2394</v>
      </c>
      <c r="F21" s="2920"/>
      <c r="G21" s="2892"/>
      <c r="H21" s="2848"/>
      <c r="I21" s="2849"/>
      <c r="J21" s="3719"/>
      <c r="K21" s="3721"/>
      <c r="L21" s="2883" t="s">
        <v>2395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2396</v>
      </c>
      <c r="D22" s="2928" t="s">
        <v>2397</v>
      </c>
      <c r="E22" s="2929" t="s">
        <v>2398</v>
      </c>
      <c r="F22" s="2920"/>
      <c r="G22" s="2930"/>
      <c r="H22" s="2848"/>
      <c r="I22" s="2849"/>
      <c r="J22" s="3719"/>
      <c r="K22" s="3721"/>
      <c r="L22" s="2883" t="s">
        <v>2399</v>
      </c>
      <c r="M22" s="2884"/>
      <c r="N22" s="2884"/>
      <c r="O22" s="2885"/>
      <c r="P22" s="2886">
        <v>365</v>
      </c>
      <c r="Q22" s="2860"/>
      <c r="R22" s="2926">
        <f>ROUND(M22*N22*O22*P22/10000,0)</f>
        <v>0</v>
      </c>
      <c r="S22" s="2922"/>
      <c r="T22" s="2922"/>
      <c r="U22" s="2922"/>
      <c r="V22" s="2849"/>
    </row>
    <row r="23" spans="1:22" s="2853" customFormat="1" ht="13.15" customHeight="1">
      <c r="A23" s="2931">
        <v>1</v>
      </c>
      <c r="B23" s="2932" t="s">
        <v>2400</v>
      </c>
      <c r="C23" s="2933">
        <f>D6</f>
        <v>0</v>
      </c>
      <c r="D23" s="2934">
        <f>C23*(1+D24)</f>
        <v>0</v>
      </c>
      <c r="E23" s="2935">
        <f>D23*(1+E24)</f>
        <v>0</v>
      </c>
      <c r="F23" s="2936"/>
      <c r="G23" s="2937"/>
      <c r="H23" s="2848"/>
      <c r="I23" s="2849"/>
      <c r="J23" s="3719"/>
      <c r="K23" s="3721"/>
      <c r="L23" s="2883" t="s">
        <v>2401</v>
      </c>
      <c r="M23" s="2884"/>
      <c r="N23" s="2884"/>
      <c r="O23" s="2885"/>
      <c r="P23" s="2886">
        <v>365</v>
      </c>
      <c r="Q23" s="2860"/>
      <c r="R23" s="2926">
        <f>ROUND(M23*N23*O23*P23/10000,0)</f>
        <v>0</v>
      </c>
      <c r="S23" s="2841"/>
      <c r="T23" s="2841"/>
      <c r="U23" s="2841"/>
      <c r="V23" s="2849"/>
    </row>
    <row r="24" spans="1:22" s="2853" customFormat="1" ht="13.15" customHeight="1">
      <c r="A24" s="2938"/>
      <c r="B24" s="2939" t="s">
        <v>2402</v>
      </c>
      <c r="C24" s="2940"/>
      <c r="D24" s="2941"/>
      <c r="E24" s="2942"/>
      <c r="F24" s="2943"/>
      <c r="G24" s="2937"/>
      <c r="H24" s="2848"/>
      <c r="I24" s="2849"/>
      <c r="J24" s="3719"/>
      <c r="K24" s="3722"/>
      <c r="L24" s="2903" t="s">
        <v>2363</v>
      </c>
      <c r="M24" s="2904">
        <f>SUM(M21:M23)</f>
        <v>0</v>
      </c>
      <c r="N24" s="2904"/>
      <c r="O24" s="2905"/>
      <c r="P24" s="2918" t="s">
        <v>2427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2403</v>
      </c>
      <c r="L25" s="2946"/>
      <c r="M25" s="2946"/>
      <c r="N25" s="2946"/>
      <c r="O25" s="2946"/>
      <c r="P25" s="2947"/>
      <c r="Q25" s="2948">
        <v>0</v>
      </c>
      <c r="R25" s="2919">
        <f>ROUND(R14*Q25,0)</f>
        <v>0</v>
      </c>
      <c r="S25" s="2841"/>
      <c r="T25" s="2841"/>
      <c r="U25" s="2841"/>
      <c r="V25" s="2949"/>
    </row>
    <row r="26" spans="1:22" s="2950" customFormat="1" ht="13.15" customHeight="1">
      <c r="A26" s="2931">
        <v>2</v>
      </c>
      <c r="B26" s="2932" t="s">
        <v>2404</v>
      </c>
      <c r="C26" s="2933">
        <f>D7</f>
        <v>0</v>
      </c>
      <c r="D26" s="2934">
        <f>D23*D27</f>
        <v>0</v>
      </c>
      <c r="E26" s="2935">
        <f>E23*E27</f>
        <v>0</v>
      </c>
      <c r="F26" s="2936"/>
      <c r="G26" s="2937"/>
      <c r="H26" s="2848"/>
      <c r="I26" s="2849"/>
      <c r="J26" s="3723">
        <v>5</v>
      </c>
      <c r="K26" s="2951" t="s">
        <v>2405</v>
      </c>
      <c r="L26" s="2952"/>
      <c r="M26" s="2953"/>
      <c r="N26" s="2954" t="s">
        <v>2406</v>
      </c>
      <c r="O26" s="2954" t="s">
        <v>2407</v>
      </c>
      <c r="P26" s="2955" t="s">
        <v>2408</v>
      </c>
      <c r="Q26" s="2955" t="s">
        <v>2409</v>
      </c>
      <c r="R26" s="2858" t="s">
        <v>2334</v>
      </c>
      <c r="S26" s="2956"/>
      <c r="T26" s="2956"/>
      <c r="U26" s="2956"/>
      <c r="V26" s="2949"/>
    </row>
    <row r="27" spans="1:22" s="2853" customFormat="1" ht="13.15" customHeight="1">
      <c r="A27" s="2938"/>
      <c r="B27" s="2939" t="s">
        <v>2410</v>
      </c>
      <c r="C27" s="2957" t="e">
        <f>E7</f>
        <v>#DIV/0!</v>
      </c>
      <c r="D27" s="2941"/>
      <c r="E27" s="2942"/>
      <c r="F27" s="2943"/>
      <c r="G27" s="2937"/>
      <c r="H27" s="2958"/>
      <c r="I27" s="2949"/>
      <c r="J27" s="372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2411</v>
      </c>
      <c r="F28" s="2943"/>
      <c r="G28" s="2930"/>
      <c r="H28" s="2958"/>
      <c r="I28" s="2949"/>
      <c r="J28" s="2964">
        <v>6</v>
      </c>
      <c r="K28" s="2965" t="s">
        <v>2412</v>
      </c>
      <c r="L28" s="2966" t="s">
        <v>2413</v>
      </c>
      <c r="M28" s="2967"/>
      <c r="N28" s="2966" t="s">
        <v>2414</v>
      </c>
      <c r="O28" s="2968"/>
      <c r="P28" s="2966" t="s">
        <v>2415</v>
      </c>
      <c r="Q28" s="2969">
        <v>1.4999999999999999E-2</v>
      </c>
      <c r="R28" s="2970"/>
      <c r="S28" s="2922"/>
      <c r="T28" s="2922"/>
      <c r="U28" s="2922"/>
      <c r="V28" s="2949"/>
    </row>
    <row r="29" spans="1:22" s="2950" customFormat="1" ht="13.15" customHeight="1">
      <c r="A29" s="2931">
        <v>3</v>
      </c>
      <c r="B29" s="2932" t="s">
        <v>2416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2417</v>
      </c>
      <c r="K31" s="2839"/>
      <c r="L31" s="2839"/>
      <c r="M31" s="2839"/>
      <c r="N31" s="2839"/>
      <c r="O31" s="2839"/>
      <c r="P31" s="2839"/>
      <c r="Q31" s="2839"/>
      <c r="R31" s="2840"/>
      <c r="S31" s="2922"/>
      <c r="T31" s="2841"/>
      <c r="U31" s="2841"/>
      <c r="V31" s="2949"/>
    </row>
    <row r="32" spans="1:22" s="2950" customFormat="1" ht="13.15" customHeight="1">
      <c r="A32" s="2931">
        <v>4</v>
      </c>
      <c r="B32" s="2932" t="s">
        <v>2418</v>
      </c>
      <c r="C32" s="2933">
        <f>C23-C26-C29</f>
        <v>0</v>
      </c>
      <c r="D32" s="2934">
        <f>D23-D26-D29</f>
        <v>0</v>
      </c>
      <c r="E32" s="2935">
        <f>E23-E26-E29</f>
        <v>0</v>
      </c>
      <c r="F32" s="2936"/>
      <c r="G32" s="2930"/>
      <c r="H32" s="2848"/>
      <c r="I32" s="2849"/>
      <c r="J32" s="3725" t="s">
        <v>2310</v>
      </c>
      <c r="K32" s="3726"/>
      <c r="L32" s="2850" t="s">
        <v>2311</v>
      </c>
      <c r="M32" s="2850" t="s">
        <v>2312</v>
      </c>
      <c r="N32" s="2850" t="s">
        <v>2313</v>
      </c>
      <c r="O32" s="2850" t="s">
        <v>2314</v>
      </c>
      <c r="P32" s="2850" t="s">
        <v>2315</v>
      </c>
      <c r="Q32" s="2851" t="s">
        <v>2316</v>
      </c>
      <c r="R32" s="2973" t="s">
        <v>2317</v>
      </c>
      <c r="S32" s="2922"/>
      <c r="T32" s="2841"/>
      <c r="U32" s="2841"/>
      <c r="V32" s="2949"/>
    </row>
    <row r="33" spans="1:23" s="2853" customFormat="1" ht="13.15" customHeight="1">
      <c r="A33" s="2931"/>
      <c r="B33" s="2932"/>
      <c r="C33" s="2933"/>
      <c r="D33" s="2974"/>
      <c r="E33" s="2975"/>
      <c r="F33" s="2936"/>
      <c r="G33" s="2930"/>
      <c r="H33" s="2958"/>
      <c r="I33" s="2949"/>
      <c r="J33" s="3727" t="s">
        <v>2320</v>
      </c>
      <c r="K33" s="3728"/>
      <c r="L33" s="2856"/>
      <c r="M33" s="2856"/>
      <c r="N33" s="2856"/>
      <c r="O33" s="2856"/>
      <c r="P33" s="2856"/>
      <c r="Q33" s="2857"/>
      <c r="R33" s="2976">
        <f>SUM(L33:Q33)</f>
        <v>0</v>
      </c>
      <c r="S33" s="2922"/>
      <c r="T33" s="2841"/>
      <c r="U33" s="2841"/>
      <c r="V33" s="2849"/>
    </row>
    <row r="34" spans="1:23" s="2853" customFormat="1" ht="13.15" customHeight="1">
      <c r="A34" s="2931">
        <v>5</v>
      </c>
      <c r="B34" s="2932" t="s">
        <v>2419</v>
      </c>
      <c r="C34" s="2977"/>
      <c r="D34" s="2978"/>
      <c r="E34" s="2979"/>
      <c r="F34" s="2936"/>
      <c r="G34" s="2930"/>
      <c r="H34" s="2958"/>
      <c r="I34" s="2949"/>
      <c r="J34" s="3727" t="s">
        <v>2322</v>
      </c>
      <c r="K34" s="372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2420</v>
      </c>
      <c r="C35" s="2981"/>
      <c r="D35" s="2982"/>
      <c r="E35" s="2983"/>
      <c r="F35" s="2936"/>
      <c r="G35" s="2984"/>
      <c r="H35" s="2848"/>
      <c r="I35" s="2949"/>
      <c r="J35" s="2867" t="s">
        <v>2324</v>
      </c>
      <c r="K35" s="2868"/>
      <c r="L35" s="2868"/>
      <c r="M35" s="2869"/>
      <c r="N35" s="2869"/>
      <c r="O35" s="2869"/>
      <c r="P35" s="2869"/>
      <c r="Q35" s="2869"/>
      <c r="R35" s="2985">
        <f>R40+R41+R43</f>
        <v>0</v>
      </c>
      <c r="S35" s="2922"/>
      <c r="T35" s="2841" t="s">
        <v>2325</v>
      </c>
      <c r="U35" s="2841"/>
      <c r="V35" s="2849"/>
    </row>
    <row r="36" spans="1:23" s="2853" customFormat="1" ht="13.15" customHeight="1" thickBot="1">
      <c r="A36" s="2931">
        <v>7</v>
      </c>
      <c r="B36" s="2986" t="s">
        <v>2421</v>
      </c>
      <c r="C36" s="2987"/>
      <c r="D36" s="2988"/>
      <c r="E36" s="2989"/>
      <c r="F36" s="2990">
        <f>C36+D36+E36</f>
        <v>0</v>
      </c>
      <c r="G36" s="2930"/>
      <c r="H36" s="2848"/>
      <c r="I36" s="2849"/>
      <c r="J36" s="3719">
        <v>1</v>
      </c>
      <c r="K36" s="3720" t="s">
        <v>2422</v>
      </c>
      <c r="L36" s="2874"/>
      <c r="M36" s="2875"/>
      <c r="N36" s="2875"/>
      <c r="O36" s="2875"/>
      <c r="P36" s="2875"/>
      <c r="Q36" s="2875"/>
      <c r="R36" s="2858" t="s">
        <v>2334</v>
      </c>
      <c r="S36" s="2922"/>
      <c r="T36" s="2841" t="s">
        <v>2335</v>
      </c>
      <c r="U36" s="2841"/>
      <c r="V36" s="2849"/>
    </row>
    <row r="37" spans="1:23" s="2853" customFormat="1" ht="13.15" customHeight="1">
      <c r="A37" s="2931"/>
      <c r="B37" s="2932"/>
      <c r="C37" s="2932"/>
      <c r="D37" s="2932"/>
      <c r="E37" s="2932"/>
      <c r="F37" s="2936"/>
      <c r="G37" s="2930"/>
      <c r="H37" s="2848"/>
      <c r="I37" s="2849"/>
      <c r="J37" s="3719"/>
      <c r="K37" s="3721"/>
      <c r="L37" s="2883"/>
      <c r="M37" s="2884"/>
      <c r="N37" s="2860"/>
      <c r="O37" s="2885"/>
      <c r="P37" s="2885"/>
      <c r="Q37" s="2886"/>
      <c r="R37" s="2887"/>
      <c r="S37" s="2922"/>
      <c r="T37" s="2841" t="s">
        <v>2338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9"/>
      <c r="K38" s="3721"/>
      <c r="L38" s="2883"/>
      <c r="M38" s="2884"/>
      <c r="N38" s="2860"/>
      <c r="O38" s="2885"/>
      <c r="P38" s="2885"/>
      <c r="Q38" s="2886"/>
      <c r="R38" s="2887"/>
      <c r="S38" s="2922"/>
      <c r="T38" s="2841" t="s">
        <v>2345</v>
      </c>
      <c r="U38" s="2841"/>
      <c r="V38" s="2849"/>
    </row>
    <row r="39" spans="1:23" s="2853" customFormat="1" ht="13.15" customHeight="1">
      <c r="A39" s="2931">
        <v>9</v>
      </c>
      <c r="B39" s="2932" t="s">
        <v>2423</v>
      </c>
      <c r="C39" s="2897" t="e">
        <f>C38</f>
        <v>#DIV/0!</v>
      </c>
      <c r="D39" s="2932">
        <f>D38/(1+D34)^C36</f>
        <v>0</v>
      </c>
      <c r="E39" s="2932">
        <f>E38/(1+E34)^(C36+D36)</f>
        <v>0</v>
      </c>
      <c r="F39" s="2936"/>
      <c r="G39" s="2991"/>
      <c r="H39" s="2848"/>
      <c r="I39" s="2849"/>
      <c r="J39" s="3719"/>
      <c r="K39" s="3721"/>
      <c r="L39" s="2883"/>
      <c r="M39" s="2884"/>
      <c r="N39" s="2860"/>
      <c r="O39" s="2885"/>
      <c r="P39" s="2885"/>
      <c r="Q39" s="2886"/>
      <c r="R39" s="2887"/>
      <c r="S39" s="2922"/>
      <c r="T39" s="2841"/>
      <c r="U39" s="2841"/>
      <c r="V39" s="2849"/>
    </row>
    <row r="40" spans="1:23" s="2853" customFormat="1" ht="13.15" customHeight="1">
      <c r="A40" s="2992">
        <v>10</v>
      </c>
      <c r="B40" s="2932" t="s">
        <v>2424</v>
      </c>
      <c r="C40" s="2993" t="e">
        <f>C39+D39+E39</f>
        <v>#DIV/0!</v>
      </c>
      <c r="D40" s="2994"/>
      <c r="E40" s="2994"/>
      <c r="F40" s="2995"/>
      <c r="G40" s="2930"/>
      <c r="H40" s="2848"/>
      <c r="I40" s="2849"/>
      <c r="J40" s="3719"/>
      <c r="K40" s="3722"/>
      <c r="L40" s="2903" t="s">
        <v>2363</v>
      </c>
      <c r="M40" s="2904"/>
      <c r="N40" s="2904"/>
      <c r="O40" s="2905"/>
      <c r="P40" s="2905"/>
      <c r="Q40" s="2906"/>
      <c r="R40" s="2852">
        <f>SUM(R37:R39)</f>
        <v>0</v>
      </c>
      <c r="S40" s="2922"/>
      <c r="T40" s="2841"/>
      <c r="U40" s="2841"/>
      <c r="V40" s="2849"/>
    </row>
    <row r="41" spans="1:23" s="2853" customFormat="1" ht="13.15" customHeight="1" thickBot="1">
      <c r="A41" s="2996">
        <v>11</v>
      </c>
      <c r="B41" s="2997" t="s">
        <v>2425</v>
      </c>
      <c r="C41" s="2997" t="e">
        <f>ROUND(C40*10000/B4,0)</f>
        <v>#DIV/0!</v>
      </c>
      <c r="D41" s="2998"/>
      <c r="E41" s="2998"/>
      <c r="F41" s="2999"/>
      <c r="G41" s="3000"/>
      <c r="H41" s="2848"/>
      <c r="I41" s="2849"/>
      <c r="J41" s="2944">
        <v>2</v>
      </c>
      <c r="K41" s="2945" t="s">
        <v>2403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23">
        <v>3</v>
      </c>
      <c r="K42" s="2951" t="s">
        <v>2405</v>
      </c>
      <c r="L42" s="2952"/>
      <c r="M42" s="2953"/>
      <c r="N42" s="2954" t="s">
        <v>2406</v>
      </c>
      <c r="O42" s="2954" t="s">
        <v>2407</v>
      </c>
      <c r="P42" s="2955" t="s">
        <v>2408</v>
      </c>
      <c r="Q42" s="2955" t="s">
        <v>2409</v>
      </c>
      <c r="R42" s="2858" t="s">
        <v>2334</v>
      </c>
      <c r="S42" s="2956"/>
      <c r="T42" s="2956"/>
      <c r="U42" s="2841"/>
      <c r="V42" s="2849"/>
    </row>
    <row r="43" spans="1:23" ht="13.15" customHeight="1">
      <c r="A43" s="2853"/>
      <c r="B43" s="2853"/>
      <c r="C43" s="2853"/>
      <c r="D43" s="2853"/>
      <c r="E43" s="2853"/>
      <c r="F43" s="2853"/>
      <c r="I43" s="2836"/>
      <c r="J43" s="372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2412</v>
      </c>
      <c r="L44" s="3004" t="s">
        <v>2413</v>
      </c>
      <c r="M44" s="2967"/>
      <c r="N44" s="3004" t="s">
        <v>2414</v>
      </c>
      <c r="O44" s="2967"/>
      <c r="P44" s="3004" t="s">
        <v>2415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878" t="s">
        <v>1659</v>
      </c>
      <c r="C1" s="1238" t="s">
        <v>1660</v>
      </c>
      <c r="D1" s="1225"/>
      <c r="E1" s="3426"/>
      <c r="F1" s="1879"/>
      <c r="G1" s="1235" t="s">
        <v>1661</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683</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1662</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684</v>
      </c>
      <c r="B3" s="353">
        <f>IF(C2="——",C49,ROUND(B2*10000/D3,0))</f>
        <v>0</v>
      </c>
      <c r="C3" s="354" t="s">
        <v>1663</v>
      </c>
      <c r="D3" s="353">
        <f>IF(D1="",'数据-汇总表'!E3,SUMIF('数据-汇总表'!$C19:$C33,D1,'数据-汇总表'!$E19:$E33))</f>
        <v>778.02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1664</v>
      </c>
      <c r="B4" s="356"/>
      <c r="C4" s="3692" t="s">
        <v>1665</v>
      </c>
      <c r="D4" s="3693"/>
      <c r="E4" s="3694" t="s">
        <v>1666</v>
      </c>
      <c r="F4" s="3695"/>
      <c r="G4" s="3692" t="s">
        <v>1667</v>
      </c>
      <c r="H4" s="3693"/>
      <c r="I4" s="3692" t="s">
        <v>1668</v>
      </c>
      <c r="J4" s="3693"/>
      <c r="K4" s="1889" t="s">
        <v>1669</v>
      </c>
      <c r="L4" s="2715"/>
      <c r="M4" s="2716"/>
      <c r="N4" s="2716"/>
      <c r="O4" s="2716"/>
      <c r="P4" s="3696" t="s">
        <v>1670</v>
      </c>
      <c r="Q4" s="3697"/>
      <c r="R4" s="3702" t="s">
        <v>1666</v>
      </c>
      <c r="S4" s="3703"/>
      <c r="T4" s="3702" t="s">
        <v>1667</v>
      </c>
      <c r="U4" s="3703"/>
      <c r="V4" s="3687" t="s">
        <v>1668</v>
      </c>
      <c r="W4" s="3687"/>
      <c r="X4" s="1355"/>
      <c r="Y4" s="3702" t="s">
        <v>1670</v>
      </c>
      <c r="Z4" s="3703"/>
      <c r="AA4" s="3689" t="s">
        <v>1666</v>
      </c>
      <c r="AB4" s="3689" t="s">
        <v>1667</v>
      </c>
      <c r="AC4" s="3689" t="s">
        <v>1668</v>
      </c>
    </row>
    <row r="5" spans="1:29" ht="15">
      <c r="A5" s="358"/>
      <c r="B5" s="359"/>
      <c r="C5" s="3710" t="s">
        <v>1671</v>
      </c>
      <c r="D5" s="3711"/>
      <c r="E5" s="3717" t="s">
        <v>1672</v>
      </c>
      <c r="F5" s="3718"/>
      <c r="G5" s="3710" t="s">
        <v>1673</v>
      </c>
      <c r="H5" s="3711"/>
      <c r="I5" s="3710" t="s">
        <v>1674</v>
      </c>
      <c r="J5" s="3711"/>
      <c r="K5" s="1890"/>
      <c r="L5" s="2715"/>
      <c r="M5" s="2716"/>
      <c r="N5" s="2716"/>
      <c r="O5" s="2716"/>
      <c r="P5" s="3698"/>
      <c r="Q5" s="3699"/>
      <c r="R5" s="3704"/>
      <c r="S5" s="3705"/>
      <c r="T5" s="3704"/>
      <c r="U5" s="3705"/>
      <c r="V5" s="3687"/>
      <c r="W5" s="3687"/>
      <c r="X5" s="1355"/>
      <c r="Y5" s="3704"/>
      <c r="Z5" s="3705"/>
      <c r="AA5" s="3690"/>
      <c r="AB5" s="3690"/>
      <c r="AC5" s="3690"/>
    </row>
    <row r="6" spans="1:29" ht="15.75" thickBot="1">
      <c r="A6" s="360"/>
      <c r="B6" s="361"/>
      <c r="C6" s="3708" t="s">
        <v>1675</v>
      </c>
      <c r="D6" s="3709"/>
      <c r="E6" s="3715" t="s">
        <v>1675</v>
      </c>
      <c r="F6" s="3716"/>
      <c r="G6" s="3708" t="s">
        <v>1675</v>
      </c>
      <c r="H6" s="3709"/>
      <c r="I6" s="3708" t="s">
        <v>1675</v>
      </c>
      <c r="J6" s="3709"/>
      <c r="K6" s="1890" t="s">
        <v>1676</v>
      </c>
      <c r="L6" s="2715"/>
      <c r="M6" s="2716"/>
      <c r="N6" s="2716"/>
      <c r="O6" s="2716"/>
      <c r="P6" s="3700"/>
      <c r="Q6" s="3701"/>
      <c r="R6" s="3704"/>
      <c r="S6" s="3705"/>
      <c r="T6" s="3706"/>
      <c r="U6" s="3707"/>
      <c r="V6" s="3687"/>
      <c r="W6" s="3687"/>
      <c r="X6" s="1355"/>
      <c r="Y6" s="3706"/>
      <c r="Z6" s="3707"/>
      <c r="AA6" s="3691"/>
      <c r="AB6" s="3691"/>
      <c r="AC6" s="3691"/>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12" t="s">
        <v>1678</v>
      </c>
      <c r="Q7" s="3714"/>
      <c r="R7" s="701" t="s">
        <v>20</v>
      </c>
      <c r="S7" s="702">
        <f t="shared" ref="S7:S15" si="0">F7</f>
        <v>0</v>
      </c>
      <c r="T7" s="701" t="s">
        <v>20</v>
      </c>
      <c r="U7" s="702">
        <f t="shared" ref="U7:U15" si="1">H7</f>
        <v>0</v>
      </c>
      <c r="V7" s="701" t="s">
        <v>20</v>
      </c>
      <c r="W7" s="702">
        <f t="shared" ref="W7:W15" si="2">J7</f>
        <v>0</v>
      </c>
      <c r="X7" s="703"/>
      <c r="Y7" s="3712" t="s">
        <v>1678</v>
      </c>
      <c r="Z7" s="3713"/>
      <c r="AA7" s="704" t="e">
        <f>D7/F7</f>
        <v>#DIV/0!</v>
      </c>
      <c r="AB7" s="704" t="e">
        <f>D7/H7</f>
        <v>#DIV/0!</v>
      </c>
      <c r="AC7" s="704" t="e">
        <f>D7/J7</f>
        <v>#DIV/0!</v>
      </c>
    </row>
    <row r="8" spans="1:29" s="108" customFormat="1" ht="15.75" thickBot="1">
      <c r="A8" s="362" t="s">
        <v>1679</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12" t="s">
        <v>1681</v>
      </c>
      <c r="Q8" s="3713"/>
      <c r="R8" s="701" t="s">
        <v>20</v>
      </c>
      <c r="S8" s="702">
        <f t="shared" si="0"/>
        <v>100</v>
      </c>
      <c r="T8" s="701" t="s">
        <v>20</v>
      </c>
      <c r="U8" s="702">
        <f t="shared" si="1"/>
        <v>100</v>
      </c>
      <c r="V8" s="701" t="s">
        <v>20</v>
      </c>
      <c r="W8" s="702">
        <f t="shared" si="2"/>
        <v>100</v>
      </c>
      <c r="X8" s="703"/>
      <c r="Y8" s="3712" t="s">
        <v>1681</v>
      </c>
      <c r="Z8" s="3713"/>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8"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8"/>
      <c r="Q11" s="1343" t="str">
        <f t="shared" si="6"/>
        <v>容积率</v>
      </c>
      <c r="R11" s="701" t="s">
        <v>18</v>
      </c>
      <c r="S11" s="702" t="e">
        <f t="shared" si="0"/>
        <v>#N/A</v>
      </c>
      <c r="T11" s="701" t="s">
        <v>18</v>
      </c>
      <c r="U11" s="702" t="e">
        <f t="shared" si="1"/>
        <v>#N/A</v>
      </c>
      <c r="V11" s="701" t="s">
        <v>18</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8"/>
      <c r="Q12" s="1343">
        <f t="shared" si="6"/>
        <v>111</v>
      </c>
      <c r="R12" s="701" t="s">
        <v>18</v>
      </c>
      <c r="S12" s="702">
        <f t="shared" si="0"/>
        <v>100</v>
      </c>
      <c r="T12" s="701" t="s">
        <v>18</v>
      </c>
      <c r="U12" s="702">
        <f t="shared" si="1"/>
        <v>100</v>
      </c>
      <c r="V12" s="701" t="s">
        <v>18</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8"/>
      <c r="Q13" s="1343">
        <f t="shared" si="6"/>
        <v>111</v>
      </c>
      <c r="R13" s="701" t="s">
        <v>18</v>
      </c>
      <c r="S13" s="702">
        <f t="shared" si="0"/>
        <v>100</v>
      </c>
      <c r="T13" s="701" t="s">
        <v>18</v>
      </c>
      <c r="U13" s="702">
        <f t="shared" si="1"/>
        <v>100</v>
      </c>
      <c r="V13" s="701" t="s">
        <v>18</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8"/>
      <c r="Q14" s="1343">
        <f t="shared" si="6"/>
        <v>111</v>
      </c>
      <c r="R14" s="701" t="s">
        <v>18</v>
      </c>
      <c r="S14" s="702">
        <f t="shared" si="0"/>
        <v>100</v>
      </c>
      <c r="T14" s="701" t="s">
        <v>18</v>
      </c>
      <c r="U14" s="702">
        <f t="shared" si="1"/>
        <v>100</v>
      </c>
      <c r="V14" s="701" t="s">
        <v>18</v>
      </c>
      <c r="W14" s="702">
        <f t="shared" si="2"/>
        <v>100</v>
      </c>
      <c r="X14" s="703"/>
      <c r="Y14" s="3575"/>
      <c r="Z14" s="52">
        <f t="shared" si="7"/>
        <v>111</v>
      </c>
      <c r="AA14" s="704">
        <f t="shared" si="3"/>
        <v>1</v>
      </c>
      <c r="AB14" s="704">
        <f t="shared" si="4"/>
        <v>1</v>
      </c>
      <c r="AC14" s="704">
        <f t="shared" si="5"/>
        <v>1</v>
      </c>
    </row>
    <row r="15" spans="1:29" ht="15">
      <c r="A15" s="391" t="s">
        <v>1688</v>
      </c>
      <c r="B15" s="61" t="s">
        <v>1255</v>
      </c>
      <c r="C15" s="1896">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78" t="s">
        <v>1689</v>
      </c>
      <c r="Q15" s="1352" t="str">
        <f t="shared" si="6"/>
        <v>居住社区成熟度</v>
      </c>
      <c r="R15" s="705" t="s">
        <v>18</v>
      </c>
      <c r="S15" s="706">
        <f t="shared" si="0"/>
        <v>100</v>
      </c>
      <c r="T15" s="705" t="s">
        <v>18</v>
      </c>
      <c r="U15" s="706">
        <f t="shared" si="1"/>
        <v>100</v>
      </c>
      <c r="V15" s="705" t="s">
        <v>18</v>
      </c>
      <c r="W15" s="706">
        <f t="shared" si="2"/>
        <v>100</v>
      </c>
      <c r="X15" s="1355"/>
      <c r="Y15" s="3680" t="s">
        <v>1689</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79"/>
      <c r="Q16" s="1352"/>
      <c r="R16" s="705"/>
      <c r="S16" s="706"/>
      <c r="T16" s="705"/>
      <c r="U16" s="706"/>
      <c r="V16" s="705"/>
      <c r="W16" s="706"/>
      <c r="X16" s="1355"/>
      <c r="Y16" s="3681"/>
      <c r="Z16" s="1356"/>
      <c r="AA16" s="1353">
        <v>1</v>
      </c>
      <c r="AB16" s="1353">
        <v>1</v>
      </c>
      <c r="AC16" s="1353">
        <v>1</v>
      </c>
    </row>
    <row r="17" spans="1:29" ht="15">
      <c r="A17" s="379"/>
      <c r="B17" s="402" t="s">
        <v>1257</v>
      </c>
      <c r="C17" s="1900">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79"/>
      <c r="Q17" s="1352" t="str">
        <f>B17</f>
        <v>交通便捷度</v>
      </c>
      <c r="R17" s="705" t="s">
        <v>18</v>
      </c>
      <c r="S17" s="706">
        <f>F17</f>
        <v>100</v>
      </c>
      <c r="T17" s="705" t="s">
        <v>18</v>
      </c>
      <c r="U17" s="706">
        <f>H17</f>
        <v>100</v>
      </c>
      <c r="V17" s="705" t="s">
        <v>18</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79"/>
      <c r="Q18" s="1352"/>
      <c r="R18" s="705"/>
      <c r="S18" s="706"/>
      <c r="T18" s="705"/>
      <c r="U18" s="706"/>
      <c r="V18" s="705"/>
      <c r="W18" s="706"/>
      <c r="X18" s="1355"/>
      <c r="Y18" s="3681"/>
      <c r="Z18" s="1356"/>
      <c r="AA18" s="1353">
        <v>1</v>
      </c>
      <c r="AB18" s="1353">
        <v>1</v>
      </c>
      <c r="AC18" s="1353">
        <v>1</v>
      </c>
    </row>
    <row r="19" spans="1:29" ht="15">
      <c r="A19" s="379"/>
      <c r="B19" s="402" t="s">
        <v>1256</v>
      </c>
      <c r="C19" s="1900">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79"/>
      <c r="Q19" s="1352" t="str">
        <f>B19</f>
        <v>公共配套设施</v>
      </c>
      <c r="R19" s="705" t="s">
        <v>18</v>
      </c>
      <c r="S19" s="706">
        <f>F19</f>
        <v>100</v>
      </c>
      <c r="T19" s="705" t="s">
        <v>18</v>
      </c>
      <c r="U19" s="706">
        <f>H19</f>
        <v>100</v>
      </c>
      <c r="V19" s="705" t="s">
        <v>18</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79"/>
      <c r="Q20" s="1352"/>
      <c r="R20" s="705"/>
      <c r="S20" s="706"/>
      <c r="T20" s="705"/>
      <c r="U20" s="706"/>
      <c r="V20" s="705"/>
      <c r="W20" s="706"/>
      <c r="X20" s="1355"/>
      <c r="Y20" s="3681"/>
      <c r="Z20" s="1356"/>
      <c r="AA20" s="1353">
        <v>1</v>
      </c>
      <c r="AB20" s="1353">
        <v>1</v>
      </c>
      <c r="AC20" s="1353">
        <v>1</v>
      </c>
    </row>
    <row r="21" spans="1:29" ht="15">
      <c r="A21" s="379"/>
      <c r="B21" s="1131" t="s">
        <v>1258</v>
      </c>
      <c r="C21" s="1900">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79"/>
      <c r="Q22" s="1352"/>
      <c r="R22" s="705"/>
      <c r="S22" s="706"/>
      <c r="T22" s="705"/>
      <c r="U22" s="706"/>
      <c r="V22" s="705"/>
      <c r="W22" s="706"/>
      <c r="X22" s="1355"/>
      <c r="Y22" s="3681"/>
      <c r="Z22" s="1356"/>
      <c r="AA22" s="1353">
        <v>1</v>
      </c>
      <c r="AB22" s="1353">
        <v>1</v>
      </c>
      <c r="AC22" s="1353">
        <v>1</v>
      </c>
    </row>
    <row r="23" spans="1:29" ht="15">
      <c r="A23" s="379"/>
      <c r="B23" s="402" t="s">
        <v>1259</v>
      </c>
      <c r="C23" s="1900">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79"/>
      <c r="Q23" s="1352" t="str">
        <f>B23</f>
        <v>自然及人文环境</v>
      </c>
      <c r="R23" s="705" t="s">
        <v>18</v>
      </c>
      <c r="S23" s="706">
        <f>F23</f>
        <v>100</v>
      </c>
      <c r="T23" s="705" t="s">
        <v>18</v>
      </c>
      <c r="U23" s="706">
        <f>H23</f>
        <v>100</v>
      </c>
      <c r="V23" s="705" t="s">
        <v>18</v>
      </c>
      <c r="W23" s="706">
        <f>J23</f>
        <v>100</v>
      </c>
      <c r="X23" s="1355"/>
      <c r="Y23" s="368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79"/>
      <c r="Q24" s="1352"/>
      <c r="R24" s="705"/>
      <c r="S24" s="706"/>
      <c r="T24" s="705"/>
      <c r="U24" s="706"/>
      <c r="V24" s="705"/>
      <c r="W24" s="706"/>
      <c r="X24" s="1355"/>
      <c r="Y24" s="3681"/>
      <c r="Z24" s="1356"/>
      <c r="AA24" s="1353">
        <v>1</v>
      </c>
      <c r="AB24" s="1353">
        <v>1</v>
      </c>
      <c r="AC24" s="1353">
        <v>1</v>
      </c>
    </row>
    <row r="25" spans="1:29" ht="15">
      <c r="A25" s="379"/>
      <c r="B25" s="375" t="s">
        <v>1690</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7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1"/>
      <c r="Z25" s="1356" t="str">
        <f>Q25</f>
        <v>楼层-1</v>
      </c>
      <c r="AA25" s="1353">
        <f t="shared" ref="AA25:AA46" si="15">D25/F25</f>
        <v>1</v>
      </c>
      <c r="AB25" s="1353">
        <f t="shared" ref="AB25:AB46" si="16">D25/H25</f>
        <v>1</v>
      </c>
      <c r="AC25" s="1353">
        <f t="shared" ref="AC25:AC46" si="17">D25/J25</f>
        <v>1</v>
      </c>
    </row>
    <row r="26" spans="1:29" ht="15">
      <c r="A26" s="379"/>
      <c r="B26" s="375" t="s">
        <v>1691</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79"/>
      <c r="Q26" s="1352" t="str">
        <f t="shared" si="11"/>
        <v>朝向</v>
      </c>
      <c r="R26" s="705" t="s">
        <v>18</v>
      </c>
      <c r="S26" s="706">
        <f t="shared" si="12"/>
        <v>100</v>
      </c>
      <c r="T26" s="705" t="s">
        <v>18</v>
      </c>
      <c r="U26" s="706">
        <f t="shared" si="13"/>
        <v>100</v>
      </c>
      <c r="V26" s="705" t="s">
        <v>18</v>
      </c>
      <c r="W26" s="706">
        <f t="shared" si="14"/>
        <v>100</v>
      </c>
      <c r="X26" s="1355"/>
      <c r="Y26" s="368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79"/>
      <c r="Q27" s="1343">
        <f t="shared" si="11"/>
        <v>111</v>
      </c>
      <c r="R27" s="701" t="s">
        <v>18</v>
      </c>
      <c r="S27" s="702">
        <f t="shared" si="12"/>
        <v>100</v>
      </c>
      <c r="T27" s="701" t="s">
        <v>18</v>
      </c>
      <c r="U27" s="702">
        <f t="shared" si="13"/>
        <v>100</v>
      </c>
      <c r="V27" s="701" t="s">
        <v>18</v>
      </c>
      <c r="W27" s="702">
        <f t="shared" si="14"/>
        <v>100</v>
      </c>
      <c r="X27" s="703"/>
      <c r="Y27" s="368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79"/>
      <c r="Q28" s="1352">
        <f t="shared" si="11"/>
        <v>111</v>
      </c>
      <c r="R28" s="705" t="s">
        <v>18</v>
      </c>
      <c r="S28" s="706">
        <f t="shared" si="12"/>
        <v>100</v>
      </c>
      <c r="T28" s="705" t="s">
        <v>18</v>
      </c>
      <c r="U28" s="706">
        <f t="shared" si="13"/>
        <v>100</v>
      </c>
      <c r="V28" s="705" t="s">
        <v>18</v>
      </c>
      <c r="W28" s="706">
        <f t="shared" si="14"/>
        <v>100</v>
      </c>
      <c r="X28" s="1355"/>
      <c r="Y28" s="368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79"/>
      <c r="Q29" s="1352">
        <f t="shared" si="11"/>
        <v>111</v>
      </c>
      <c r="R29" s="705" t="s">
        <v>18</v>
      </c>
      <c r="S29" s="706">
        <f t="shared" si="12"/>
        <v>100</v>
      </c>
      <c r="T29" s="705" t="s">
        <v>18</v>
      </c>
      <c r="U29" s="706">
        <f t="shared" si="13"/>
        <v>100</v>
      </c>
      <c r="V29" s="705" t="s">
        <v>18</v>
      </c>
      <c r="W29" s="706">
        <f t="shared" si="14"/>
        <v>100</v>
      </c>
      <c r="X29" s="1355"/>
      <c r="Y29" s="368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79"/>
      <c r="Q30" s="1352">
        <f t="shared" si="11"/>
        <v>111</v>
      </c>
      <c r="R30" s="705" t="s">
        <v>18</v>
      </c>
      <c r="S30" s="706">
        <f t="shared" si="12"/>
        <v>100</v>
      </c>
      <c r="T30" s="705" t="s">
        <v>18</v>
      </c>
      <c r="U30" s="706">
        <f t="shared" si="13"/>
        <v>100</v>
      </c>
      <c r="V30" s="705" t="s">
        <v>18</v>
      </c>
      <c r="W30" s="706">
        <f t="shared" si="14"/>
        <v>100</v>
      </c>
      <c r="X30" s="1355"/>
      <c r="Y30" s="368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79"/>
      <c r="Q31" s="1352">
        <f t="shared" si="11"/>
        <v>111</v>
      </c>
      <c r="R31" s="705" t="s">
        <v>18</v>
      </c>
      <c r="S31" s="706">
        <f t="shared" si="12"/>
        <v>100</v>
      </c>
      <c r="T31" s="705" t="s">
        <v>18</v>
      </c>
      <c r="U31" s="706">
        <f t="shared" si="13"/>
        <v>100</v>
      </c>
      <c r="V31" s="705" t="s">
        <v>18</v>
      </c>
      <c r="W31" s="706">
        <f t="shared" si="14"/>
        <v>100</v>
      </c>
      <c r="X31" s="1355"/>
      <c r="Y31" s="3681"/>
      <c r="Z31" s="1356">
        <f t="shared" si="18"/>
        <v>111</v>
      </c>
      <c r="AA31" s="1353">
        <f t="shared" si="15"/>
        <v>1</v>
      </c>
      <c r="AB31" s="1353">
        <f t="shared" si="16"/>
        <v>1</v>
      </c>
      <c r="AC31" s="1353">
        <f t="shared" si="17"/>
        <v>1</v>
      </c>
    </row>
    <row r="32" spans="1:29" ht="15">
      <c r="A32" s="391" t="s">
        <v>1692</v>
      </c>
      <c r="B32" s="63" t="s">
        <v>1693</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82" t="s">
        <v>1694</v>
      </c>
      <c r="Q32" s="1352" t="str">
        <f t="shared" si="11"/>
        <v>建筑类型</v>
      </c>
      <c r="R32" s="705" t="s">
        <v>18</v>
      </c>
      <c r="S32" s="706">
        <f t="shared" si="12"/>
        <v>100</v>
      </c>
      <c r="T32" s="705" t="s">
        <v>18</v>
      </c>
      <c r="U32" s="706">
        <f t="shared" si="13"/>
        <v>100</v>
      </c>
      <c r="V32" s="705" t="s">
        <v>18</v>
      </c>
      <c r="W32" s="706">
        <f t="shared" si="14"/>
        <v>100</v>
      </c>
      <c r="X32" s="1355"/>
      <c r="Y32" s="3685" t="s">
        <v>1694</v>
      </c>
      <c r="Z32" s="1356" t="str">
        <f t="shared" si="18"/>
        <v>建筑类型</v>
      </c>
      <c r="AA32" s="1353">
        <f t="shared" si="15"/>
        <v>1</v>
      </c>
      <c r="AB32" s="1353">
        <f t="shared" si="16"/>
        <v>1</v>
      </c>
      <c r="AC32" s="1353">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83"/>
      <c r="Q33" s="707" t="str">
        <f t="shared" si="11"/>
        <v>项目建筑规模</v>
      </c>
      <c r="R33" s="708" t="s">
        <v>18</v>
      </c>
      <c r="S33" s="709" t="e">
        <f t="shared" si="12"/>
        <v>#N/A</v>
      </c>
      <c r="T33" s="708" t="s">
        <v>18</v>
      </c>
      <c r="U33" s="709" t="e">
        <f t="shared" si="13"/>
        <v>#N/A</v>
      </c>
      <c r="V33" s="708" t="s">
        <v>18</v>
      </c>
      <c r="W33" s="709" t="e">
        <f t="shared" si="14"/>
        <v>#N/A</v>
      </c>
      <c r="X33" s="710"/>
      <c r="Y33" s="3685"/>
      <c r="Z33" s="711" t="str">
        <f t="shared" si="18"/>
        <v>项目建筑规模</v>
      </c>
      <c r="AA33" s="1353" t="e">
        <f t="shared" si="15"/>
        <v>#N/A</v>
      </c>
      <c r="AB33" s="1353" t="e">
        <f t="shared" si="16"/>
        <v>#N/A</v>
      </c>
      <c r="AC33" s="1353" t="e">
        <f t="shared" si="17"/>
        <v>#N/A</v>
      </c>
    </row>
    <row r="34" spans="1:29" ht="15">
      <c r="A34" s="423"/>
      <c r="B34" s="375" t="s">
        <v>1696</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83"/>
      <c r="Q34" s="1352" t="str">
        <f t="shared" si="11"/>
        <v>建筑结构</v>
      </c>
      <c r="R34" s="705" t="s">
        <v>18</v>
      </c>
      <c r="S34" s="706">
        <f t="shared" si="12"/>
        <v>100</v>
      </c>
      <c r="T34" s="705" t="s">
        <v>18</v>
      </c>
      <c r="U34" s="706">
        <f t="shared" si="13"/>
        <v>100</v>
      </c>
      <c r="V34" s="705" t="s">
        <v>18</v>
      </c>
      <c r="W34" s="706">
        <f t="shared" si="14"/>
        <v>100</v>
      </c>
      <c r="X34" s="1355"/>
      <c r="Y34" s="3685"/>
      <c r="Z34" s="1356" t="str">
        <f t="shared" si="18"/>
        <v>建筑结构</v>
      </c>
      <c r="AA34" s="1353">
        <f t="shared" si="15"/>
        <v>1</v>
      </c>
      <c r="AB34" s="1353">
        <f t="shared" si="16"/>
        <v>1</v>
      </c>
      <c r="AC34" s="1353">
        <f t="shared" si="17"/>
        <v>1</v>
      </c>
    </row>
    <row r="35" spans="1:29" ht="15">
      <c r="A35" s="423"/>
      <c r="B35" s="375" t="s">
        <v>1697</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83"/>
      <c r="Q35" s="1352" t="str">
        <f t="shared" si="11"/>
        <v>建筑品质</v>
      </c>
      <c r="R35" s="705" t="s">
        <v>18</v>
      </c>
      <c r="S35" s="706">
        <f t="shared" si="12"/>
        <v>100</v>
      </c>
      <c r="T35" s="705" t="s">
        <v>18</v>
      </c>
      <c r="U35" s="706">
        <f t="shared" si="13"/>
        <v>100</v>
      </c>
      <c r="V35" s="705" t="s">
        <v>18</v>
      </c>
      <c r="W35" s="706">
        <f t="shared" si="14"/>
        <v>100</v>
      </c>
      <c r="X35" s="1355"/>
      <c r="Y35" s="3685"/>
      <c r="Z35" s="1356" t="str">
        <f t="shared" si="18"/>
        <v>建筑品质</v>
      </c>
      <c r="AA35" s="1353">
        <f t="shared" si="15"/>
        <v>1</v>
      </c>
      <c r="AB35" s="1353">
        <f t="shared" si="16"/>
        <v>1</v>
      </c>
      <c r="AC35" s="1353">
        <f t="shared" si="17"/>
        <v>1</v>
      </c>
    </row>
    <row r="36" spans="1:29" ht="15">
      <c r="A36" s="423"/>
      <c r="B36" s="375" t="s">
        <v>1698</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83"/>
      <c r="Q36" s="1352" t="str">
        <f t="shared" si="11"/>
        <v>公共部分装修</v>
      </c>
      <c r="R36" s="705" t="s">
        <v>18</v>
      </c>
      <c r="S36" s="706">
        <f t="shared" si="12"/>
        <v>100</v>
      </c>
      <c r="T36" s="705" t="s">
        <v>18</v>
      </c>
      <c r="U36" s="706">
        <f t="shared" si="13"/>
        <v>100</v>
      </c>
      <c r="V36" s="705" t="s">
        <v>18</v>
      </c>
      <c r="W36" s="706">
        <f t="shared" si="14"/>
        <v>100</v>
      </c>
      <c r="X36" s="1355"/>
      <c r="Y36" s="3685"/>
      <c r="Z36" s="1356" t="str">
        <f t="shared" si="18"/>
        <v>公共部分装修</v>
      </c>
      <c r="AA36" s="1353">
        <f t="shared" si="15"/>
        <v>1</v>
      </c>
      <c r="AB36" s="1353">
        <f t="shared" si="16"/>
        <v>1</v>
      </c>
      <c r="AC36" s="1353">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83"/>
      <c r="Q37" s="1343" t="str">
        <f t="shared" si="11"/>
        <v>成新度</v>
      </c>
      <c r="R37" s="701" t="s">
        <v>18</v>
      </c>
      <c r="S37" s="702" t="e">
        <f t="shared" si="12"/>
        <v>#N/A</v>
      </c>
      <c r="T37" s="701" t="s">
        <v>18</v>
      </c>
      <c r="U37" s="702" t="e">
        <f t="shared" si="13"/>
        <v>#N/A</v>
      </c>
      <c r="V37" s="701" t="s">
        <v>18</v>
      </c>
      <c r="W37" s="702" t="e">
        <f t="shared" si="14"/>
        <v>#N/A</v>
      </c>
      <c r="X37" s="703"/>
      <c r="Y37" s="3685"/>
      <c r="Z37" s="52" t="str">
        <f t="shared" si="18"/>
        <v>成新度</v>
      </c>
      <c r="AA37" s="704" t="e">
        <f t="shared" si="15"/>
        <v>#N/A</v>
      </c>
      <c r="AB37" s="704" t="e">
        <f t="shared" si="16"/>
        <v>#N/A</v>
      </c>
      <c r="AC37" s="704" t="e">
        <f t="shared" si="17"/>
        <v>#N/A</v>
      </c>
    </row>
    <row r="38" spans="1:29" ht="15">
      <c r="A38" s="423"/>
      <c r="B38" s="375" t="s">
        <v>1700</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83" t="s">
        <v>1694</v>
      </c>
      <c r="Q38" s="1352" t="str">
        <f t="shared" si="11"/>
        <v>物业管理</v>
      </c>
      <c r="R38" s="705" t="s">
        <v>18</v>
      </c>
      <c r="S38" s="706">
        <f t="shared" si="12"/>
        <v>100</v>
      </c>
      <c r="T38" s="705" t="s">
        <v>18</v>
      </c>
      <c r="U38" s="706">
        <f t="shared" si="13"/>
        <v>100</v>
      </c>
      <c r="V38" s="705" t="s">
        <v>18</v>
      </c>
      <c r="W38" s="706">
        <f t="shared" si="14"/>
        <v>100</v>
      </c>
      <c r="X38" s="1355"/>
      <c r="Y38" s="3685" t="s">
        <v>1694</v>
      </c>
      <c r="Z38" s="1356" t="str">
        <f t="shared" si="18"/>
        <v>物业管理</v>
      </c>
      <c r="AA38" s="1353">
        <f t="shared" si="15"/>
        <v>1</v>
      </c>
      <c r="AB38" s="1353">
        <f t="shared" si="16"/>
        <v>1</v>
      </c>
      <c r="AC38" s="1353">
        <f t="shared" si="17"/>
        <v>1</v>
      </c>
    </row>
    <row r="39" spans="1:29" ht="15">
      <c r="A39" s="423"/>
      <c r="B39" s="375" t="s">
        <v>1701</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83"/>
      <c r="Q39" s="1352" t="str">
        <f t="shared" si="11"/>
        <v>市政基础设施</v>
      </c>
      <c r="R39" s="705" t="s">
        <v>18</v>
      </c>
      <c r="S39" s="706">
        <f t="shared" si="12"/>
        <v>100</v>
      </c>
      <c r="T39" s="705" t="s">
        <v>18</v>
      </c>
      <c r="U39" s="706">
        <f t="shared" si="13"/>
        <v>100</v>
      </c>
      <c r="V39" s="705" t="s">
        <v>18</v>
      </c>
      <c r="W39" s="706">
        <f t="shared" si="14"/>
        <v>100</v>
      </c>
      <c r="X39" s="1355"/>
      <c r="Y39" s="3685"/>
      <c r="Z39" s="1356" t="str">
        <f t="shared" si="18"/>
        <v>市政基础设施</v>
      </c>
      <c r="AA39" s="1353">
        <f t="shared" si="15"/>
        <v>1</v>
      </c>
      <c r="AB39" s="1353">
        <f t="shared" si="16"/>
        <v>1</v>
      </c>
      <c r="AC39" s="1353">
        <f t="shared" si="17"/>
        <v>1</v>
      </c>
    </row>
    <row r="40" spans="1:29" ht="15">
      <c r="A40" s="423"/>
      <c r="B40" s="375" t="s">
        <v>1702</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83"/>
      <c r="Q40" s="1352" t="str">
        <f t="shared" si="11"/>
        <v>房型</v>
      </c>
      <c r="R40" s="705" t="s">
        <v>18</v>
      </c>
      <c r="S40" s="706">
        <f t="shared" si="12"/>
        <v>100</v>
      </c>
      <c r="T40" s="705" t="s">
        <v>18</v>
      </c>
      <c r="U40" s="706">
        <f t="shared" si="13"/>
        <v>100</v>
      </c>
      <c r="V40" s="705" t="s">
        <v>18</v>
      </c>
      <c r="W40" s="706">
        <f t="shared" si="14"/>
        <v>100</v>
      </c>
      <c r="X40" s="1355"/>
      <c r="Y40" s="3685"/>
      <c r="Z40" s="1356" t="str">
        <f t="shared" si="18"/>
        <v>房型</v>
      </c>
      <c r="AA40" s="1353">
        <f t="shared" si="15"/>
        <v>1</v>
      </c>
      <c r="AB40" s="1353">
        <f t="shared" si="16"/>
        <v>1</v>
      </c>
      <c r="AC40" s="1353">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83"/>
      <c r="Q41" s="707" t="str">
        <f t="shared" si="11"/>
        <v>单套/主力户型建筑面积</v>
      </c>
      <c r="R41" s="708" t="s">
        <v>18</v>
      </c>
      <c r="S41" s="709">
        <f t="shared" si="12"/>
        <v>100</v>
      </c>
      <c r="T41" s="708" t="s">
        <v>18</v>
      </c>
      <c r="U41" s="709">
        <f t="shared" si="13"/>
        <v>100</v>
      </c>
      <c r="V41" s="708" t="s">
        <v>18</v>
      </c>
      <c r="W41" s="709">
        <f t="shared" si="14"/>
        <v>100</v>
      </c>
      <c r="X41" s="710"/>
      <c r="Y41" s="3685"/>
      <c r="Z41" s="711" t="str">
        <f t="shared" si="18"/>
        <v>单套/主力户型建筑面积</v>
      </c>
      <c r="AA41" s="1353">
        <f t="shared" si="15"/>
        <v>1</v>
      </c>
      <c r="AB41" s="1353">
        <f t="shared" si="16"/>
        <v>1</v>
      </c>
      <c r="AC41" s="1353">
        <f t="shared" si="17"/>
        <v>1</v>
      </c>
    </row>
    <row r="42" spans="1:29" ht="15">
      <c r="A42" s="423"/>
      <c r="B42" s="375" t="s">
        <v>1704</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83"/>
      <c r="Q42" s="1352" t="str">
        <f t="shared" si="11"/>
        <v>内部装修</v>
      </c>
      <c r="R42" s="705" t="s">
        <v>18</v>
      </c>
      <c r="S42" s="706">
        <f t="shared" si="12"/>
        <v>100</v>
      </c>
      <c r="T42" s="705" t="s">
        <v>18</v>
      </c>
      <c r="U42" s="706">
        <f t="shared" si="13"/>
        <v>100</v>
      </c>
      <c r="V42" s="705" t="s">
        <v>18</v>
      </c>
      <c r="W42" s="706">
        <f t="shared" si="14"/>
        <v>100</v>
      </c>
      <c r="X42" s="1355"/>
      <c r="Y42" s="3685"/>
      <c r="Z42" s="1356" t="str">
        <f t="shared" si="18"/>
        <v>内部装修</v>
      </c>
      <c r="AA42" s="1353">
        <f t="shared" si="15"/>
        <v>1</v>
      </c>
      <c r="AB42" s="1353">
        <f t="shared" si="16"/>
        <v>1</v>
      </c>
      <c r="AC42" s="1353">
        <f t="shared" si="17"/>
        <v>1</v>
      </c>
    </row>
    <row r="43" spans="1:29" ht="15">
      <c r="A43" s="423"/>
      <c r="B43" s="375" t="s">
        <v>1705</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83"/>
      <c r="Q43" s="1352" t="str">
        <f t="shared" si="11"/>
        <v>内部装修维护情况</v>
      </c>
      <c r="R43" s="705" t="s">
        <v>18</v>
      </c>
      <c r="S43" s="706">
        <f t="shared" si="12"/>
        <v>100</v>
      </c>
      <c r="T43" s="705" t="s">
        <v>18</v>
      </c>
      <c r="U43" s="706">
        <f t="shared" si="13"/>
        <v>100</v>
      </c>
      <c r="V43" s="705" t="s">
        <v>18</v>
      </c>
      <c r="W43" s="706">
        <f t="shared" si="14"/>
        <v>100</v>
      </c>
      <c r="X43" s="1355"/>
      <c r="Y43" s="368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83"/>
      <c r="Q44" s="1343">
        <f t="shared" si="11"/>
        <v>111</v>
      </c>
      <c r="R44" s="701" t="s">
        <v>18</v>
      </c>
      <c r="S44" s="702">
        <f t="shared" si="12"/>
        <v>100</v>
      </c>
      <c r="T44" s="701" t="s">
        <v>18</v>
      </c>
      <c r="U44" s="702">
        <f t="shared" si="13"/>
        <v>100</v>
      </c>
      <c r="V44" s="701" t="s">
        <v>18</v>
      </c>
      <c r="W44" s="702">
        <f t="shared" si="14"/>
        <v>100</v>
      </c>
      <c r="X44" s="703"/>
      <c r="Y44" s="368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83"/>
      <c r="Q45" s="1352">
        <f t="shared" si="11"/>
        <v>111</v>
      </c>
      <c r="R45" s="705" t="s">
        <v>18</v>
      </c>
      <c r="S45" s="706">
        <f t="shared" si="12"/>
        <v>100</v>
      </c>
      <c r="T45" s="705" t="s">
        <v>18</v>
      </c>
      <c r="U45" s="706">
        <f t="shared" si="13"/>
        <v>100</v>
      </c>
      <c r="V45" s="705" t="s">
        <v>18</v>
      </c>
      <c r="W45" s="706">
        <f t="shared" si="14"/>
        <v>100</v>
      </c>
      <c r="X45" s="1355"/>
      <c r="Y45" s="368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84"/>
      <c r="Q46" s="1352">
        <f t="shared" si="11"/>
        <v>111</v>
      </c>
      <c r="R46" s="705" t="s">
        <v>17</v>
      </c>
      <c r="S46" s="706">
        <f t="shared" si="12"/>
        <v>100</v>
      </c>
      <c r="T46" s="705" t="s">
        <v>17</v>
      </c>
      <c r="U46" s="706">
        <f t="shared" si="13"/>
        <v>100</v>
      </c>
      <c r="V46" s="705" t="s">
        <v>17</v>
      </c>
      <c r="W46" s="706">
        <f t="shared" si="14"/>
        <v>100</v>
      </c>
      <c r="X46" s="1355"/>
      <c r="Y46" s="3686"/>
      <c r="Z46" s="1356">
        <f t="shared" si="18"/>
        <v>111</v>
      </c>
      <c r="AA46" s="1353">
        <f t="shared" si="15"/>
        <v>1</v>
      </c>
      <c r="AB46" s="1353">
        <f t="shared" si="16"/>
        <v>1</v>
      </c>
      <c r="AC46" s="1353">
        <f t="shared" si="17"/>
        <v>1</v>
      </c>
    </row>
    <row r="47" spans="1:29" ht="15">
      <c r="A47" s="430" t="s">
        <v>1706</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1707</v>
      </c>
      <c r="B48" s="438"/>
      <c r="C48" s="1160" t="e">
        <f>R49</f>
        <v>#DIV/0!</v>
      </c>
      <c r="D48" s="2317" t="s">
        <v>2136</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1708</v>
      </c>
      <c r="B49" s="442"/>
      <c r="C49" s="1162" t="e">
        <f>R49</f>
        <v>#DIV/0!</v>
      </c>
      <c r="D49" s="1163"/>
      <c r="E49" s="1163"/>
      <c r="F49" s="1163"/>
      <c r="G49" s="1163"/>
      <c r="H49" s="1163"/>
      <c r="I49" s="1163"/>
      <c r="J49" s="1163"/>
      <c r="K49" s="1915"/>
      <c r="L49" s="2724"/>
      <c r="M49" s="2725"/>
      <c r="N49" s="2725"/>
      <c r="O49" s="2725"/>
      <c r="P49" s="3675" t="str">
        <f>A49</f>
        <v>估价对象XX用房的比较价值（楼面单价，元/平方米）</v>
      </c>
      <c r="Q49" s="3676"/>
      <c r="R49" s="3677" t="e">
        <f>IF(F1="售价",ROUND(IF(D48="简单平均",AVERAGE(R48:V48),R48*F48+T48*H48+V48*J48),0),ROUND(IF(D48="简单平均",AVERAGE(R48:V48),R48*F48+T48*H48+V48*J48),1))</f>
        <v>#DIV/0!</v>
      </c>
      <c r="S49" s="3677"/>
      <c r="T49" s="3677"/>
      <c r="U49" s="3677"/>
      <c r="V49" s="3677"/>
      <c r="W49" s="3677"/>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1712</v>
      </c>
      <c r="B57" s="690"/>
      <c r="C57" s="695"/>
      <c r="D57" s="695"/>
      <c r="E57" s="695"/>
      <c r="F57" s="696"/>
      <c r="G57" s="696"/>
      <c r="H57" s="695"/>
      <c r="I57" s="695"/>
      <c r="J57" s="695"/>
      <c r="K57" s="941"/>
      <c r="L57" s="942"/>
      <c r="M57" s="940"/>
      <c r="N57" s="940"/>
      <c r="O57" s="940"/>
      <c r="P57" s="1918"/>
      <c r="Q57" s="453"/>
    </row>
    <row r="58" spans="1:29" s="457" customFormat="1" ht="15">
      <c r="A58" s="454" t="s">
        <v>1713</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1714</v>
      </c>
      <c r="B60" s="465"/>
      <c r="C60" s="466"/>
      <c r="D60" s="467"/>
      <c r="E60" s="467"/>
      <c r="F60" s="467"/>
      <c r="G60" s="467"/>
      <c r="H60" s="467"/>
      <c r="I60" s="467"/>
      <c r="J60" s="467"/>
      <c r="K60" s="467"/>
      <c r="L60" s="467"/>
      <c r="M60" s="468"/>
      <c r="N60" s="467"/>
      <c r="O60" s="468"/>
      <c r="P60" s="1920"/>
      <c r="Q60" s="453"/>
    </row>
    <row r="61" spans="1:29" s="108" customFormat="1" ht="15">
      <c r="A61" s="470" t="s">
        <v>1715</v>
      </c>
      <c r="B61" s="459"/>
      <c r="C61" s="471" t="s">
        <v>1716</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1717</v>
      </c>
      <c r="B63" s="477" t="s">
        <v>1683</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1686</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1258</v>
      </c>
      <c r="C82" s="488" t="s">
        <v>1726</v>
      </c>
      <c r="D82" s="488" t="s">
        <v>1727</v>
      </c>
      <c r="E82" s="488" t="s">
        <v>1728</v>
      </c>
      <c r="F82" s="488" t="s">
        <v>1729</v>
      </c>
      <c r="G82" s="488" t="s">
        <v>1730</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1732</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1733</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1692</v>
      </c>
      <c r="B100" s="477" t="s">
        <v>1734</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1736</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1737</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1738</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1739</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1740</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1741</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1703</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1742</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1744</v>
      </c>
    </row>
    <row r="137" spans="1:17" ht="15">
      <c r="B137" s="1930" t="s">
        <v>1745</v>
      </c>
      <c r="C137" s="1931"/>
      <c r="D137" s="1931"/>
      <c r="E137" s="1931"/>
      <c r="F137" s="1931"/>
      <c r="G137" s="1932"/>
      <c r="H137" s="1933"/>
      <c r="I137" s="1934" t="s">
        <v>1746</v>
      </c>
      <c r="J137" s="1931"/>
      <c r="K137" s="1935"/>
    </row>
    <row r="138" spans="1:17" ht="15">
      <c r="B138" s="1936"/>
      <c r="C138" s="137" t="s">
        <v>1747</v>
      </c>
      <c r="D138" s="137" t="s">
        <v>1748</v>
      </c>
      <c r="E138" s="1937" t="s">
        <v>1749</v>
      </c>
      <c r="F138" s="1938" t="s">
        <v>1750</v>
      </c>
      <c r="G138" s="137" t="s">
        <v>1748</v>
      </c>
      <c r="H138" s="138" t="s">
        <v>1749</v>
      </c>
      <c r="I138" s="1939"/>
      <c r="J138" s="137" t="s">
        <v>1751</v>
      </c>
      <c r="K138" s="138" t="s">
        <v>1752</v>
      </c>
    </row>
    <row r="139" spans="1:17" ht="15">
      <c r="B139" s="867">
        <v>6</v>
      </c>
      <c r="C139" s="868">
        <v>96</v>
      </c>
      <c r="D139" s="1940" t="s">
        <v>1753</v>
      </c>
      <c r="E139" s="869">
        <v>100</v>
      </c>
      <c r="F139" s="870">
        <v>102.5</v>
      </c>
      <c r="G139" s="1940" t="s">
        <v>1753</v>
      </c>
      <c r="H139" s="871">
        <v>105</v>
      </c>
      <c r="I139" s="1941" t="s">
        <v>1754</v>
      </c>
      <c r="J139" s="868">
        <v>20</v>
      </c>
      <c r="K139" s="872">
        <f>C145/(J139-2)</f>
        <v>4.0555555555555553E-3</v>
      </c>
    </row>
    <row r="140" spans="1:17" ht="15">
      <c r="B140" s="873">
        <v>5</v>
      </c>
      <c r="C140" s="874">
        <v>100</v>
      </c>
      <c r="D140" s="874"/>
      <c r="E140" s="875"/>
      <c r="F140" s="876">
        <v>102</v>
      </c>
      <c r="G140" s="874"/>
      <c r="H140" s="877"/>
      <c r="I140" s="1942" t="s">
        <v>1755</v>
      </c>
      <c r="J140" s="271">
        <f>ROUNDUP((J139-1)/2,0)</f>
        <v>10</v>
      </c>
      <c r="K140" s="878">
        <v>100</v>
      </c>
    </row>
    <row r="141" spans="1:17" ht="15">
      <c r="B141" s="873">
        <v>4</v>
      </c>
      <c r="C141" s="874">
        <v>102</v>
      </c>
      <c r="D141" s="874"/>
      <c r="E141" s="875"/>
      <c r="F141" s="876">
        <v>101.5</v>
      </c>
      <c r="G141" s="874"/>
      <c r="H141" s="877"/>
      <c r="I141" s="1942" t="s">
        <v>1756</v>
      </c>
      <c r="J141" s="271">
        <v>1</v>
      </c>
      <c r="K141" s="879">
        <f>ROUND(100+(J141-J140)*K139*100,1)</f>
        <v>96.4</v>
      </c>
    </row>
    <row r="142" spans="1:17" ht="15">
      <c r="B142" s="873">
        <v>3</v>
      </c>
      <c r="C142" s="874">
        <v>103</v>
      </c>
      <c r="D142" s="874"/>
      <c r="E142" s="875"/>
      <c r="F142" s="876">
        <v>101</v>
      </c>
      <c r="G142" s="874"/>
      <c r="H142" s="877"/>
      <c r="I142" s="1942" t="s">
        <v>1757</v>
      </c>
      <c r="J142" s="271">
        <f>J139</f>
        <v>20</v>
      </c>
      <c r="K142" s="880">
        <v>95</v>
      </c>
    </row>
    <row r="143" spans="1:17" ht="15">
      <c r="B143" s="873">
        <v>2</v>
      </c>
      <c r="C143" s="874">
        <v>100</v>
      </c>
      <c r="D143" s="874"/>
      <c r="E143" s="875"/>
      <c r="F143" s="876">
        <v>100.5</v>
      </c>
      <c r="G143" s="874"/>
      <c r="H143" s="877"/>
      <c r="I143" s="1942" t="s">
        <v>1758</v>
      </c>
      <c r="J143" s="874">
        <v>15</v>
      </c>
      <c r="K143" s="879">
        <f>ROUND(100+(J143-J140)*K139*100,1)</f>
        <v>102</v>
      </c>
    </row>
    <row r="144" spans="1:17" ht="15">
      <c r="B144" s="873">
        <v>1</v>
      </c>
      <c r="C144" s="874">
        <v>98</v>
      </c>
      <c r="D144" s="1943" t="s">
        <v>1759</v>
      </c>
      <c r="E144" s="875">
        <v>102</v>
      </c>
      <c r="F144" s="881">
        <v>100</v>
      </c>
      <c r="G144" s="1943" t="s">
        <v>1759</v>
      </c>
      <c r="H144" s="877">
        <v>105</v>
      </c>
      <c r="I144" s="1942" t="s">
        <v>1758</v>
      </c>
      <c r="J144" s="874">
        <v>18</v>
      </c>
      <c r="K144" s="879">
        <f>ROUND(100+(J144-J140)*K139*100,1)</f>
        <v>103.2</v>
      </c>
    </row>
    <row r="145" spans="2:11" ht="15.75" thickBot="1">
      <c r="B145" s="1944" t="s">
        <v>1760</v>
      </c>
      <c r="C145" s="882">
        <f>ROUND(MAX(C139:C144)/MIN(C139:C144)-1,3)</f>
        <v>7.2999999999999995E-2</v>
      </c>
      <c r="D145" s="883"/>
      <c r="E145" s="883"/>
      <c r="F145" s="1945" t="s">
        <v>1761</v>
      </c>
      <c r="G145" s="1946"/>
      <c r="H145" s="1947"/>
      <c r="I145" s="1948" t="s">
        <v>1758</v>
      </c>
      <c r="J145" s="884">
        <v>8</v>
      </c>
      <c r="K145" s="885">
        <f>ROUND(100+(J145-J140)*K139*100,1)</f>
        <v>99.2</v>
      </c>
    </row>
    <row r="147" spans="2:11">
      <c r="B147" s="1929" t="s">
        <v>1762</v>
      </c>
    </row>
    <row r="148" spans="2:11">
      <c r="B148" s="1929"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43" sqref="O4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70" t="s">
        <v>3378</v>
      </c>
      <c r="C1" s="198"/>
      <c r="D1" s="198"/>
      <c r="E1" s="198"/>
      <c r="F1" s="198"/>
      <c r="G1" s="1126">
        <f>MATCH(B1,'数据-取费表'!A6:A16,0)+5</f>
        <v>6</v>
      </c>
    </row>
    <row r="2" spans="1:9" s="200" customFormat="1" ht="18" customHeight="1">
      <c r="A2" s="201" t="s">
        <v>1460</v>
      </c>
      <c r="B2" s="202">
        <f ca="1">IF(D2="——",C52,C52-E2)</f>
        <v>657</v>
      </c>
      <c r="C2" s="199" t="s">
        <v>1461</v>
      </c>
      <c r="D2" s="1853" t="s">
        <v>43</v>
      </c>
      <c r="E2" s="1169" t="e">
        <f ca="1">SUMIF(INDIRECT("'"&amp;G2&amp;"'"&amp;"!A:A"),"承租人权益价值",INDIRECT("'"&amp;G2&amp;"'"&amp;"!c:c"))</f>
        <v>#REF!</v>
      </c>
      <c r="F2" s="1854" t="s">
        <v>1461</v>
      </c>
      <c r="G2" s="1855"/>
    </row>
    <row r="3" spans="1:9" s="200" customFormat="1" ht="18" customHeight="1" thickBot="1">
      <c r="A3" s="203" t="s">
        <v>1462</v>
      </c>
      <c r="B3" s="204">
        <f ca="1">ROUND(B2*10000/(IF(B1="",'数据-汇总表'!E3,INDIRECT("'数据-取费表'!k"&amp;$G$1))),0)</f>
        <v>62488</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 ca="1">C6+C7+C8</f>
        <v>381</v>
      </c>
      <c r="D5" s="211" t="s">
        <v>1467</v>
      </c>
      <c r="E5" s="212" t="s">
        <v>1468</v>
      </c>
      <c r="F5" s="212" t="s">
        <v>1469</v>
      </c>
      <c r="G5" s="213"/>
    </row>
    <row r="6" spans="1:9" s="214" customFormat="1" ht="13.5" customHeight="1">
      <c r="A6" s="778" t="s">
        <v>1470</v>
      </c>
      <c r="B6" s="215" t="s">
        <v>1471</v>
      </c>
      <c r="C6" s="216">
        <f>基准地价修正!E33</f>
        <v>368</v>
      </c>
      <c r="D6" s="217"/>
      <c r="E6" s="218"/>
      <c r="F6" s="218"/>
      <c r="G6" s="219"/>
    </row>
    <row r="7" spans="1:9" s="214" customFormat="1" ht="13.5" customHeight="1">
      <c r="A7" s="778" t="s">
        <v>1472</v>
      </c>
      <c r="B7" s="215" t="s">
        <v>1473</v>
      </c>
      <c r="C7" s="220">
        <f>ROUND(C6*F7,0)</f>
        <v>11</v>
      </c>
      <c r="D7" s="220"/>
      <c r="E7" s="218"/>
      <c r="F7" s="221">
        <f>IF(项目基本情况!B8="出让",0,'数据-取费表'!B48+'数据-取费表'!B49)</f>
        <v>3.0499999999999999E-2</v>
      </c>
      <c r="G7" s="219"/>
    </row>
    <row r="8" spans="1:9" s="223" customFormat="1">
      <c r="A8" s="778" t="s">
        <v>1474</v>
      </c>
      <c r="B8" s="215" t="s">
        <v>1475</v>
      </c>
      <c r="C8" s="220">
        <f ca="1">IF(G8="已包含在土地购买价格中","0",IF(B1="",'数据-取费表'!B29,IF(G9="全部缴纳",C9+C10,H9)))</f>
        <v>2</v>
      </c>
      <c r="D8" s="222"/>
      <c r="E8" s="220"/>
      <c r="F8" s="221"/>
      <c r="G8" s="1856" t="s">
        <v>3407</v>
      </c>
    </row>
    <row r="9" spans="1:9" s="214" customFormat="1" ht="13.5" customHeight="1">
      <c r="A9" s="779" t="s">
        <v>355</v>
      </c>
      <c r="B9" s="224" t="s">
        <v>1476</v>
      </c>
      <c r="C9" s="225">
        <f ca="1">ROUND(D9*E9/10000,0)</f>
        <v>0</v>
      </c>
      <c r="D9" s="845">
        <f ca="1">IF(B1="",'数据-汇总表'!E5,IF(INDIRECT("'数据-取费表'!c"&amp;$G$1)="住宅",INDIRECT("'数据-取费表'!k"&amp;$G$1),0))</f>
        <v>0</v>
      </c>
      <c r="E9" s="225">
        <f>'数据-取费表'!B27</f>
        <v>160</v>
      </c>
      <c r="F9" s="221"/>
      <c r="G9" s="1857" t="s">
        <v>3408</v>
      </c>
      <c r="H9" s="1137"/>
      <c r="I9" s="1858" t="s">
        <v>1477</v>
      </c>
    </row>
    <row r="10" spans="1:9" s="214" customFormat="1" ht="13.5" customHeight="1">
      <c r="A10" s="779" t="s">
        <v>356</v>
      </c>
      <c r="B10" s="224" t="s">
        <v>1478</v>
      </c>
      <c r="C10" s="225">
        <f ca="1">ROUND(D10*E10/10000,0)</f>
        <v>2</v>
      </c>
      <c r="D10" s="845">
        <f ca="1">IF(B1="",'数据-汇总表'!E6,IF(INDIRECT("'数据-取费表'!c"&amp;$G$1)="住宅",INDIRECT("'数据-取费表'!s"&amp;$G$1),INDIRECT("'数据-取费表'!k"&amp;$G$1)+INDIRECT("'数据-取费表'!s"&amp;$G$1)))</f>
        <v>105.14</v>
      </c>
      <c r="E10" s="225">
        <f>'数据-取费表'!B28</f>
        <v>200</v>
      </c>
      <c r="F10" s="221"/>
      <c r="G10" s="226"/>
    </row>
    <row r="11" spans="1:9" s="214" customFormat="1" ht="13.5" hidden="1" customHeight="1">
      <c r="A11" s="227" t="s">
        <v>4</v>
      </c>
      <c r="B11" s="215" t="s">
        <v>1479</v>
      </c>
      <c r="C11" s="211"/>
      <c r="D11" s="847"/>
      <c r="E11" s="218"/>
      <c r="F11" s="218"/>
      <c r="G11" s="219"/>
    </row>
    <row r="12" spans="1:9" s="214" customFormat="1" ht="13.5" hidden="1" customHeight="1">
      <c r="A12" s="227" t="s">
        <v>5</v>
      </c>
      <c r="B12" s="215" t="s">
        <v>1480</v>
      </c>
      <c r="C12" s="211">
        <v>0</v>
      </c>
      <c r="D12" s="847"/>
      <c r="E12" s="228"/>
      <c r="F12" s="221">
        <v>3.0499999999999999E-2</v>
      </c>
      <c r="G12" s="219"/>
    </row>
    <row r="13" spans="1:9" s="214" customFormat="1" ht="13.5" hidden="1" customHeight="1">
      <c r="A13" s="227" t="s">
        <v>6</v>
      </c>
      <c r="B13" s="215" t="s">
        <v>1481</v>
      </c>
      <c r="C13" s="211"/>
      <c r="D13" s="847"/>
      <c r="E13" s="218"/>
      <c r="F13" s="218"/>
      <c r="G13" s="219"/>
    </row>
    <row r="14" spans="1:9" s="214" customFormat="1" ht="13.5" hidden="1" customHeight="1">
      <c r="A14" s="227" t="s">
        <v>7</v>
      </c>
      <c r="B14" s="215" t="s">
        <v>1482</v>
      </c>
      <c r="C14" s="211"/>
      <c r="D14" s="847"/>
      <c r="E14" s="218"/>
      <c r="F14" s="218"/>
      <c r="G14" s="219" t="s">
        <v>1483</v>
      </c>
    </row>
    <row r="15" spans="1:9" s="214" customFormat="1" ht="13.5" hidden="1" customHeight="1">
      <c r="A15" s="227" t="s">
        <v>8</v>
      </c>
      <c r="B15" s="215" t="s">
        <v>1484</v>
      </c>
      <c r="C15" s="220"/>
      <c r="D15" s="847"/>
      <c r="E15" s="218"/>
      <c r="F15" s="218"/>
      <c r="G15" s="219" t="s">
        <v>1485</v>
      </c>
    </row>
    <row r="16" spans="1:9" s="214" customFormat="1" ht="13.5" hidden="1" customHeight="1">
      <c r="A16" s="227" t="s">
        <v>9</v>
      </c>
      <c r="B16" s="215" t="s">
        <v>1482</v>
      </c>
      <c r="C16" s="220"/>
      <c r="D16" s="847"/>
      <c r="E16" s="218"/>
      <c r="F16" s="218"/>
      <c r="G16" s="219"/>
    </row>
    <row r="17" spans="1:7" s="214" customFormat="1" ht="13.5" hidden="1" customHeight="1">
      <c r="A17" s="227" t="s">
        <v>10</v>
      </c>
      <c r="B17" s="215" t="s">
        <v>1486</v>
      </c>
      <c r="C17" s="229"/>
      <c r="D17" s="848"/>
      <c r="E17" s="229"/>
      <c r="F17" s="229"/>
      <c r="G17" s="219" t="s">
        <v>1485</v>
      </c>
    </row>
    <row r="18" spans="1:7" s="214" customFormat="1" ht="13.5" hidden="1" customHeight="1">
      <c r="A18" s="227" t="s">
        <v>11</v>
      </c>
      <c r="B18" s="215" t="s">
        <v>1487</v>
      </c>
      <c r="C18" s="220">
        <v>0</v>
      </c>
      <c r="D18" s="847"/>
      <c r="E18" s="218"/>
      <c r="F18" s="221">
        <v>3.0499999999999999E-2</v>
      </c>
      <c r="G18" s="219" t="s">
        <v>1488</v>
      </c>
    </row>
    <row r="19" spans="1:7" s="223" customFormat="1" ht="13.5" customHeight="1">
      <c r="A19" s="255" t="s">
        <v>1489</v>
      </c>
      <c r="B19" s="210" t="s">
        <v>1490</v>
      </c>
      <c r="C19" s="211" t="str">
        <f>IF(G19="已包含在土地取得成本中","0",ROUND(D19*E19/10000,0))</f>
        <v>0</v>
      </c>
      <c r="D19" s="849">
        <f ca="1">D9+D10</f>
        <v>105.14</v>
      </c>
      <c r="E19" s="211">
        <f>'数据-取费表'!B31</f>
        <v>200</v>
      </c>
      <c r="F19" s="231"/>
      <c r="G19" s="1856" t="s">
        <v>3409</v>
      </c>
    </row>
    <row r="20" spans="1:7" s="214" customFormat="1" ht="13.5" customHeight="1">
      <c r="A20" s="255" t="s">
        <v>1491</v>
      </c>
      <c r="B20" s="210" t="s">
        <v>1492</v>
      </c>
      <c r="C20" s="232">
        <f ca="1">ROUND((C5+C19)*F20,0)</f>
        <v>11</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4">
        <f ca="1">ROUND(SUM(C23:C25),0)</f>
        <v>27</v>
      </c>
      <c r="D22" s="235">
        <f ca="1">C26</f>
        <v>1E-3</v>
      </c>
      <c r="E22" s="236" t="s">
        <v>1496</v>
      </c>
      <c r="F22" s="237">
        <f ca="1">'数据-取费表'!B40</f>
        <v>3.4500000000000003E-2</v>
      </c>
      <c r="G22" s="234" t="str">
        <f>IF('数据-取费表'!B22&lt;=1,"单利计息","复利计息")</f>
        <v>复利计息</v>
      </c>
    </row>
    <row r="23" spans="1:7" s="214" customFormat="1" ht="13.5" customHeight="1">
      <c r="A23" s="780" t="s">
        <v>1500</v>
      </c>
      <c r="B23" s="215" t="s">
        <v>1501</v>
      </c>
      <c r="C23" s="1105">
        <f ca="1">ROUND(IF('数据-取费表'!B22&lt;=1,C5*F22*'数据-取费表'!B23,C5*(POWER((1+F22),'数据-取费表'!B23)-1)),0)</f>
        <v>27</v>
      </c>
      <c r="D23" s="238"/>
      <c r="E23" s="238"/>
      <c r="F23" s="239"/>
      <c r="G23" s="240" t="s">
        <v>1502</v>
      </c>
    </row>
    <row r="24" spans="1:7" s="214" customFormat="1" ht="13.5" customHeight="1">
      <c r="A24" s="780" t="s">
        <v>1503</v>
      </c>
      <c r="B24" s="215" t="s">
        <v>1504</v>
      </c>
      <c r="C24" s="1105">
        <f ca="1">ROUND(IF('数据-取费表'!B22&lt;=1,C19*F22*('数据-取费表'!B19/2+'数据-取费表'!B21),C19*(POWER((1+F22),('数据-取费表'!B19/2+'数据-取费表'!B21))-1)),0)</f>
        <v>0</v>
      </c>
      <c r="D24" s="238"/>
      <c r="E24" s="238"/>
      <c r="F24" s="239"/>
      <c r="G24" s="240" t="s">
        <v>1505</v>
      </c>
    </row>
    <row r="25" spans="1:7" s="214" customFormat="1" ht="24">
      <c r="A25" s="780" t="s">
        <v>1506</v>
      </c>
      <c r="B25" s="215" t="s">
        <v>1507</v>
      </c>
      <c r="C25" s="1105">
        <f ca="1">ROUND(IF('数据-取费表'!B22&lt;=1,C20*F22*'数据-取费表'!B23/2,C20*(POWER((1+F22),'数据-取费表'!B23/2)-1)),0)</f>
        <v>0</v>
      </c>
      <c r="D25" s="238"/>
      <c r="E25" s="241"/>
      <c r="F25" s="239"/>
      <c r="G25" s="242" t="s">
        <v>1508</v>
      </c>
    </row>
    <row r="26" spans="1:7" s="214" customFormat="1">
      <c r="A26" s="780" t="s">
        <v>350</v>
      </c>
      <c r="B26" s="215" t="s">
        <v>1509</v>
      </c>
      <c r="C26" s="238">
        <f ca="1">ROUND(IF('数据-取费表'!B22&lt;=1,F21*F22*'数据-取费表'!B23/2,F21*(POWER((1+F22),'数据-取费表'!B23/2)-1)),4)</f>
        <v>1E-3</v>
      </c>
      <c r="D26" s="238"/>
      <c r="E26" s="241"/>
      <c r="F26" s="239"/>
      <c r="G26" s="243"/>
    </row>
    <row r="27" spans="1:7" s="214" customFormat="1" ht="24.75">
      <c r="A27" s="255" t="s">
        <v>1510</v>
      </c>
      <c r="B27" s="244" t="s">
        <v>1511</v>
      </c>
      <c r="C27" s="245">
        <f ca="1">C28</f>
        <v>98</v>
      </c>
      <c r="D27" s="235">
        <f ca="1">C29</f>
        <v>7.4999999999999997E-3</v>
      </c>
      <c r="E27" s="236" t="s">
        <v>1512</v>
      </c>
      <c r="F27" s="246">
        <f ca="1">IF(B1="",'数据-取费表'!Q16,INDIRECT("'数据-取费表'!q"&amp;$G$1))</f>
        <v>0.25</v>
      </c>
      <c r="G27" s="247" t="s">
        <v>1513</v>
      </c>
    </row>
    <row r="28" spans="1:7" s="214" customFormat="1" ht="13.5" customHeight="1">
      <c r="A28" s="780" t="s">
        <v>346</v>
      </c>
      <c r="B28" s="248" t="s">
        <v>1514</v>
      </c>
      <c r="C28" s="249">
        <f ca="1">ROUND((C5+C19+C20)*F27*'数据-取费表'!B21/'数据-取费表'!B20,0)</f>
        <v>98</v>
      </c>
      <c r="D28" s="235"/>
      <c r="E28" s="236"/>
      <c r="F28" s="246"/>
      <c r="G28" s="247"/>
    </row>
    <row r="29" spans="1:7" s="214" customFormat="1" ht="13.5" customHeight="1">
      <c r="A29" s="780" t="s">
        <v>347</v>
      </c>
      <c r="B29" s="248" t="s">
        <v>1515</v>
      </c>
      <c r="C29" s="238">
        <f ca="1">ROUND(C21*F27*'数据-取费表'!B21/'数据-取费表'!B20,4)</f>
        <v>7.4999999999999997E-3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569</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69</v>
      </c>
      <c r="D33" s="232"/>
      <c r="E33" s="212"/>
      <c r="F33" s="241"/>
      <c r="G33" s="234"/>
    </row>
    <row r="34" spans="1:7" s="258" customFormat="1" ht="13.5" customHeight="1">
      <c r="A34" s="780" t="s">
        <v>346</v>
      </c>
      <c r="B34" s="215" t="s">
        <v>1523</v>
      </c>
      <c r="C34" s="220">
        <f ca="1">IF(B1="",IF(F34=100%,'数据-取费表'!M16,'数据-取费表'!O16),IF(F34=100%,INDIRECT("'数据-取费表'!m"&amp;$G$1)+INDIRECT("'数据-取费表'!t"&amp;$G$1),INDIRECT("'数据-取费表'!o"&amp;$G$1)+INDIRECT("'数据-取费表'!aq"&amp;$G$1)))</f>
        <v>63</v>
      </c>
      <c r="D34" s="217"/>
      <c r="E34" s="220"/>
      <c r="F34" s="257">
        <f ca="1">IF('数据-取费表'!B24=0,1,IF(B1="",'数据-取费表'!N16,INDIRECT("'数据-取费表'!n"&amp;$G$1)))</f>
        <v>1</v>
      </c>
      <c r="G34" s="219" t="s">
        <v>1524</v>
      </c>
    </row>
    <row r="35" spans="1:7" ht="13.5" customHeight="1">
      <c r="A35" s="780" t="s">
        <v>351</v>
      </c>
      <c r="B35" s="215" t="s">
        <v>1525</v>
      </c>
      <c r="C35" s="220">
        <f ca="1">ROUND(C34*F35,0)</f>
        <v>3</v>
      </c>
      <c r="D35" s="220"/>
      <c r="E35" s="220"/>
      <c r="F35" s="259">
        <f>'数据-取费表'!B33</f>
        <v>0.05</v>
      </c>
      <c r="G35" s="219" t="s">
        <v>1526</v>
      </c>
    </row>
    <row r="36" spans="1:7" ht="24">
      <c r="A36" s="780"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80" t="s">
        <v>353</v>
      </c>
      <c r="B37" s="215" t="s">
        <v>1529</v>
      </c>
      <c r="C37" s="249">
        <f ca="1">ROUND(E37*D37*F34/10000,0)</f>
        <v>2</v>
      </c>
      <c r="D37" s="217">
        <f ca="1">D19</f>
        <v>105.14</v>
      </c>
      <c r="E37" s="249">
        <f>'数据-取费表'!B35</f>
        <v>200</v>
      </c>
      <c r="F37" s="259"/>
      <c r="G37" s="261" t="s">
        <v>1530</v>
      </c>
    </row>
    <row r="38" spans="1:7" ht="13.5" customHeight="1">
      <c r="A38" s="780" t="s">
        <v>354</v>
      </c>
      <c r="B38" s="215" t="s">
        <v>1531</v>
      </c>
      <c r="C38" s="220">
        <f ca="1">ROUND(C34*F38,0)</f>
        <v>1</v>
      </c>
      <c r="D38" s="220"/>
      <c r="E38" s="220"/>
      <c r="F38" s="259">
        <f>'数据-取费表'!B36</f>
        <v>1.4999999999999999E-2</v>
      </c>
      <c r="G38" s="219" t="s">
        <v>1526</v>
      </c>
    </row>
    <row r="39" spans="1:7" s="214" customFormat="1" ht="13.5" customHeight="1">
      <c r="A39" s="255" t="s">
        <v>1532</v>
      </c>
      <c r="B39" s="210" t="s">
        <v>1533</v>
      </c>
      <c r="C39" s="232">
        <f ca="1">ROUND(C33*F20,0)</f>
        <v>2</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2</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ROUND(IF('数据-取费表'!B22&lt;=1,C33*F22*'数据-取费表'!B21/2,C33*(POWER((1+F22),'数据-取费表'!B21/2)-1)),0)</f>
        <v>2</v>
      </c>
      <c r="D42" s="238"/>
      <c r="E42" s="238"/>
      <c r="F42" s="239"/>
      <c r="G42" s="3738" t="s">
        <v>1542</v>
      </c>
    </row>
    <row r="43" spans="1:7" ht="13.5" customHeight="1">
      <c r="A43" s="780" t="s">
        <v>347</v>
      </c>
      <c r="B43" s="215" t="s">
        <v>1543</v>
      </c>
      <c r="C43" s="238">
        <f ca="1">ROUND(IF('数据-取费表'!B22&lt;=1,C39*F22*'数据-取费表'!B21/2,C39*(POWER((1+F22),'数据-取费表'!B21/2)-1)),0)</f>
        <v>0</v>
      </c>
      <c r="D43" s="238"/>
      <c r="E43" s="238"/>
      <c r="F43" s="239"/>
      <c r="G43" s="3739"/>
    </row>
    <row r="44" spans="1:7" ht="13.5" customHeight="1">
      <c r="A44" s="780" t="s">
        <v>348</v>
      </c>
      <c r="B44" s="215" t="s">
        <v>1544</v>
      </c>
      <c r="C44" s="238">
        <f ca="1">ROUND(IF('数据-取费表'!B22&lt;=1,C40*F22*'数据-取费表'!B21/2,C40*(POWER((1+F22),'数据-取费表'!B21/2)-1)),4)</f>
        <v>1E-3</v>
      </c>
      <c r="D44" s="238"/>
      <c r="E44" s="238"/>
      <c r="F44" s="239"/>
      <c r="G44" s="3740"/>
    </row>
    <row r="45" spans="1:7" s="214" customFormat="1" ht="13.5" customHeight="1">
      <c r="A45" s="255" t="s">
        <v>1545</v>
      </c>
      <c r="B45" s="244" t="s">
        <v>1511</v>
      </c>
      <c r="C45" s="245">
        <f ca="1">C46</f>
        <v>18</v>
      </c>
      <c r="D45" s="235">
        <f ca="1">C47</f>
        <v>7.4999999999999997E-3</v>
      </c>
      <c r="E45" s="236" t="s">
        <v>1537</v>
      </c>
      <c r="F45" s="246">
        <f ca="1">F27</f>
        <v>0.25</v>
      </c>
      <c r="G45" s="247" t="s">
        <v>1546</v>
      </c>
    </row>
    <row r="46" spans="1:7" s="214" customFormat="1" ht="13.5" customHeight="1">
      <c r="A46" s="780" t="s">
        <v>346</v>
      </c>
      <c r="B46" s="248" t="s">
        <v>1547</v>
      </c>
      <c r="C46" s="249">
        <f ca="1">ROUND((C33+C39)*F27,0)</f>
        <v>18</v>
      </c>
      <c r="D46" s="263"/>
      <c r="E46" s="236"/>
      <c r="F46" s="246"/>
      <c r="G46" s="247"/>
    </row>
    <row r="47" spans="1:7" s="214" customFormat="1" ht="13.5" customHeight="1">
      <c r="A47" s="780" t="s">
        <v>347</v>
      </c>
      <c r="B47" s="248" t="s">
        <v>1548</v>
      </c>
      <c r="C47" s="238">
        <f ca="1">ROUND(C40*F27,4)</f>
        <v>7.4999999999999997E-3</v>
      </c>
      <c r="D47" s="263"/>
      <c r="E47" s="236"/>
      <c r="F47" s="246"/>
      <c r="G47" s="247"/>
    </row>
    <row r="48" spans="1:7" s="214" customFormat="1" ht="13.5" customHeight="1">
      <c r="A48" s="255" t="s">
        <v>1510</v>
      </c>
      <c r="B48" s="210" t="s">
        <v>1549</v>
      </c>
      <c r="C48" s="1327">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100</v>
      </c>
      <c r="D49" s="232"/>
      <c r="E49" s="232"/>
      <c r="F49" s="264"/>
      <c r="G49" s="234" t="s">
        <v>1552</v>
      </c>
    </row>
    <row r="50" spans="1:7" s="258" customFormat="1" ht="24">
      <c r="A50" s="255" t="s">
        <v>1553</v>
      </c>
      <c r="B50" s="210" t="s">
        <v>1554</v>
      </c>
      <c r="C50" s="232"/>
      <c r="D50" s="232"/>
      <c r="E50" s="232"/>
      <c r="F50" s="264">
        <f>IF('数据-取费表'!B24=0,'数据-取费表'!N16,1)</f>
        <v>0.88</v>
      </c>
      <c r="G50" s="247" t="s">
        <v>1555</v>
      </c>
    </row>
    <row r="51" spans="1:7" ht="16.5" customHeight="1">
      <c r="A51" s="255" t="s">
        <v>1556</v>
      </c>
      <c r="B51" s="210" t="s">
        <v>1557</v>
      </c>
      <c r="C51" s="232">
        <f ca="1">ROUND(C49*F50,0)</f>
        <v>88</v>
      </c>
      <c r="D51" s="232"/>
      <c r="E51" s="232"/>
      <c r="F51" s="264"/>
      <c r="G51" s="234" t="s">
        <v>1558</v>
      </c>
    </row>
    <row r="52" spans="1:7" s="208" customFormat="1" ht="16.5" thickBot="1">
      <c r="A52" s="265" t="s">
        <v>1559</v>
      </c>
      <c r="B52" s="266"/>
      <c r="C52" s="267">
        <f ca="1">C31+C51</f>
        <v>657</v>
      </c>
      <c r="D52" s="266"/>
      <c r="E52" s="266"/>
      <c r="F52" s="266"/>
      <c r="G52" s="268"/>
    </row>
    <row r="55" spans="1:7" ht="15">
      <c r="B55" s="270" t="s">
        <v>1560</v>
      </c>
      <c r="C55" s="271"/>
    </row>
    <row r="56" spans="1:7">
      <c r="B56" s="273" t="s">
        <v>800</v>
      </c>
      <c r="C56" s="275">
        <f ca="1">1-C57</f>
        <v>0.86599999999999999</v>
      </c>
    </row>
    <row r="57" spans="1:7">
      <c r="B57" s="273" t="s">
        <v>801</v>
      </c>
      <c r="C57" s="274">
        <f ca="1">ROUND(C51/C52,3)</f>
        <v>0.13400000000000001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90" zoomScaleNormal="80" zoomScaleSheetLayoutView="90" workbookViewId="0">
      <selection activeCell="E33" sqref="E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105.14</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0</v>
      </c>
      <c r="C2" s="1999" t="s">
        <v>1933</v>
      </c>
      <c r="D2" s="2000" t="s">
        <v>1934</v>
      </c>
      <c r="E2" s="3422" t="s">
        <v>671</v>
      </c>
      <c r="F2" s="2000" t="s">
        <v>1935</v>
      </c>
      <c r="G2" s="2001" t="str">
        <f>IF(E2="商业",项目基本情况!B37,IF(E2="办公",项目基本情况!C37,IF(E2="住宅",项目基本情况!D37,IF(E2="工业",项目基本情况!E37,项目基本情况!F37))))</f>
        <v>二级</v>
      </c>
      <c r="H2" s="2000" t="s">
        <v>1936</v>
      </c>
      <c r="I2" s="2001" t="str">
        <f>IF(E2="商业",项目基本情况!B38,IF(E2="办公",项目基本情况!C38,IF(E2="住宅",项目基本情况!D38,IF(E2="工业",项目基本情况!E38,项目基本情况!F38))))</f>
        <v>Ⅱ—14</v>
      </c>
      <c r="J2" s="2002"/>
      <c r="K2" s="1119"/>
      <c r="L2" s="2003" t="s">
        <v>1937</v>
      </c>
      <c r="M2" s="864">
        <f>SUMPRODUCT((区片价!B10:B29=I2)*(区片价!C3:G3=E2)*(区片价!C10:G29))</f>
        <v>27800</v>
      </c>
      <c r="N2" s="866">
        <f>SUMPRODUCT((因素修正幅度!B10:B29=I2)*(因素修正幅度!C3:G3=E2)*(因素修正幅度!C10:G29))</f>
        <v>9.9000000000000005E-2</v>
      </c>
      <c r="O2" s="1119"/>
      <c r="P2" s="1119"/>
      <c r="Q2" s="1119"/>
      <c r="R2" s="1212">
        <v>1</v>
      </c>
      <c r="S2" s="3361">
        <f>ROUND(SUMPRODUCT((B106:B110=R2)*(C105:N105=G2)*(C106:N110)),4)</f>
        <v>1.5206</v>
      </c>
      <c r="T2" s="3361">
        <f t="shared" ref="T2:T16" si="0">ROUND($C$5*$C$22*$C$23*$C$24*S2*$C$28,0)</f>
        <v>35007</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0</v>
      </c>
      <c r="C3" s="1999" t="s">
        <v>1939</v>
      </c>
      <c r="D3" s="2000" t="s">
        <v>1940</v>
      </c>
      <c r="E3" s="3420" t="s">
        <v>2432</v>
      </c>
      <c r="F3" s="2004" t="s">
        <v>3402</v>
      </c>
      <c r="G3" s="752">
        <f>IF(F3="宗地容积率",'数据-汇总表'!I4,IF(F3="估价对象容积率",'数据-汇总表'!I6,'数据-汇总表'!I7))</f>
        <v>4.7</v>
      </c>
      <c r="H3" s="170" t="s">
        <v>1941</v>
      </c>
      <c r="I3" s="775">
        <v>1</v>
      </c>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27792</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24014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27800</v>
      </c>
      <c r="D5" s="1339">
        <f>ROUND(C6*C17+C20,0)</f>
        <v>27800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21730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27800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20710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3230</v>
      </c>
      <c r="B7" s="2021"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1953</v>
      </c>
      <c r="X7" s="1214" t="str">
        <f>G2</f>
        <v>二级</v>
      </c>
      <c r="Y7" s="1214" t="s">
        <v>1954</v>
      </c>
      <c r="Z7" s="1215">
        <f>G3</f>
        <v>4.7</v>
      </c>
      <c r="AA7" s="1216"/>
      <c r="AB7" s="1216"/>
      <c r="AC7" s="1217"/>
      <c r="AD7" s="1218"/>
      <c r="AE7" s="1218"/>
      <c r="AF7" s="1218"/>
      <c r="AG7" s="1218"/>
      <c r="AH7" s="1218"/>
      <c r="AI7" s="1218"/>
      <c r="AJ7" s="1219"/>
    </row>
    <row r="8" spans="1:36" ht="25.5">
      <c r="A8" s="3299"/>
      <c r="B8" s="170" t="s">
        <v>1955</v>
      </c>
      <c r="C8" s="2026" t="s">
        <v>3403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1958</v>
      </c>
      <c r="X8" s="374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3261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3231</v>
      </c>
      <c r="B12" s="3305" t="s">
        <v>3232</v>
      </c>
      <c r="C12" s="3306"/>
      <c r="D12" s="3307" t="s">
        <v>3233</v>
      </c>
      <c r="E12" s="3308" t="s">
        <v>3234</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3235</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1983</v>
      </c>
      <c r="C14" s="2041" t="s">
        <v>1984</v>
      </c>
      <c r="D14" s="1350" t="s">
        <v>1985</v>
      </c>
      <c r="E14" s="27" t="s">
        <v>1986</v>
      </c>
      <c r="F14" s="3312" t="s">
        <v>3236</v>
      </c>
      <c r="G14" s="3312" t="s">
        <v>3236</v>
      </c>
      <c r="H14" s="3312" t="s">
        <v>3236</v>
      </c>
      <c r="I14" s="3312" t="s">
        <v>3236</v>
      </c>
      <c r="J14" s="3312" t="s">
        <v>3236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3237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3238</v>
      </c>
      <c r="B17" s="3321" t="s">
        <v>3239</v>
      </c>
      <c r="C17" s="3331">
        <f>ROUND(IF(OR(E2="工业",E2="公共服务"),1,IF(AND(E18=0,E19=0),1,IF(AND(E18=J24,E19=G19),0.8,IF(E19=0,1+E17*(-0.2),1+E17*G17*(-0.2))))),4)</f>
        <v>1</v>
      </c>
      <c r="D17" s="3322" t="s">
        <v>3240</v>
      </c>
      <c r="E17" s="3331">
        <f>ROUND(G18/I18,2)</f>
        <v>0</v>
      </c>
      <c r="F17" s="3322" t="s">
        <v>3243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3241</v>
      </c>
      <c r="E18" s="3329"/>
      <c r="F18" s="3324" t="s">
        <v>3244</v>
      </c>
      <c r="G18" s="3328">
        <f>ROUND(1-(1/(POWER(1+G24,E18))),4)</f>
        <v>0</v>
      </c>
      <c r="H18" s="3324" t="s">
        <v>3246</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3242</v>
      </c>
      <c r="E19" s="3338"/>
      <c r="F19" s="3339" t="s">
        <v>3245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3247</v>
      </c>
      <c r="B20" s="167" t="s">
        <v>1992</v>
      </c>
      <c r="C20" s="3325">
        <f>ROUND(IF(F21="与级别开发程度一致",0,(G21-E21)/C21),0)</f>
        <v>0</v>
      </c>
      <c r="D20" s="3341" t="s">
        <v>1996</v>
      </c>
      <c r="E20" s="3342"/>
      <c r="F20" s="3758" t="s">
        <v>1993</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1995</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1.052</v>
      </c>
      <c r="D23" s="2054" t="s">
        <v>2000</v>
      </c>
      <c r="E23" s="761">
        <v>44197</v>
      </c>
      <c r="F23" s="2054" t="s">
        <v>2001</v>
      </c>
      <c r="G23" s="762">
        <f>'数据-取费表'!B2</f>
        <v>45485</v>
      </c>
      <c r="H23" s="3343" t="s">
        <v>3249</v>
      </c>
      <c r="I23" s="3344" t="str">
        <f>IF(H23="季度增幅（自定义）",SUMIF(N25:N28,E2,O25:O28),"")</f>
        <v/>
      </c>
      <c r="J23" s="3446" t="s">
        <v>3248</v>
      </c>
      <c r="K23" s="1125"/>
      <c r="L23" s="2055" t="s">
        <v>2002</v>
      </c>
      <c r="M23" s="1328">
        <f>ROUND(SUMIF(地价!B2:G2,E2,地价!B16:G16),0)</f>
        <v>350</v>
      </c>
      <c r="N23" s="2056" t="s">
        <v>2003</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0.74770000000000003</v>
      </c>
      <c r="D24" s="2060" t="s">
        <v>2005</v>
      </c>
      <c r="E24" s="1335">
        <f>存贷款利率!E24/100</f>
        <v>4.3499999999999997E-2</v>
      </c>
      <c r="F24" s="2060" t="s">
        <v>1997</v>
      </c>
      <c r="G24" s="768">
        <f>SUMIF(M30:Q30,E2,M33:Q33)</f>
        <v>5.5E-2</v>
      </c>
      <c r="H24" s="2060" t="s">
        <v>2006</v>
      </c>
      <c r="I24" s="769">
        <f>SUMIF('数据-取费表'!C6:C15,E2,'数据-取费表'!F6:F15)/COUNTIF('数据-取费表'!C6:C15,E2)</f>
        <v>20.14</v>
      </c>
      <c r="J24" s="770">
        <f>IF(E2="住宅",70,IF(E2="商业",40,50))</f>
        <v>40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3415</v>
      </c>
      <c r="C25" s="771">
        <f>IF(B25="容积率修正",IF(G3&lt;10,D26,J26),C27)</f>
        <v>1.5206</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3250</v>
      </c>
      <c r="D26" s="1352">
        <f>IF(E26=G26,F26,IF(G3&lt;10,ROUND(F26+(H26-F26)*(G3-E26)/(G26-E26),4),"——"))</f>
        <v>0.96579999999999999</v>
      </c>
      <c r="E26" s="752">
        <f>ROUNDDOWN(G3,1)</f>
        <v>4.7</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0.96579999999999999</v>
      </c>
      <c r="G26" s="752">
        <f>ROUNDUP(G3,1)</f>
        <v>4.7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0.96579999999999999</v>
      </c>
      <c r="I26" s="3345" t="s">
        <v>3251</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1.5206</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1.0528</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0</v>
      </c>
      <c r="D30" s="2083"/>
      <c r="E30" s="2046"/>
      <c r="F30" s="2084"/>
      <c r="G30" s="2046"/>
      <c r="H30" s="2046"/>
      <c r="I30" s="2046"/>
      <c r="J30" s="2085"/>
      <c r="K30" s="1119"/>
      <c r="L30" s="3351" t="s">
        <v>1934</v>
      </c>
      <c r="M30" s="3352" t="s">
        <v>1988</v>
      </c>
      <c r="N30" s="3352" t="s">
        <v>1989</v>
      </c>
      <c r="O30" s="3352" t="s">
        <v>1990</v>
      </c>
      <c r="P30" s="3352" t="s">
        <v>1991</v>
      </c>
      <c r="Q30" s="3355"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35007</v>
      </c>
      <c r="D33" s="2098">
        <f>'数据-汇总表'!F19</f>
        <v>105.14</v>
      </c>
      <c r="E33" s="773">
        <f>ROUND(C33*D33/10000,0)</f>
        <v>368</v>
      </c>
      <c r="F33" s="3346" t="s">
        <v>3253</v>
      </c>
      <c r="G33" s="2099"/>
      <c r="H33" s="2099"/>
      <c r="I33" s="2099"/>
      <c r="J33" s="2100"/>
      <c r="K33" s="1119"/>
      <c r="L33" s="3349" t="s">
        <v>3256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t="e">
        <f>ROUND(IF(E2="工业",C33*M42,IF(B25="楼层修正",SUM(V2:V16)*M41*10000/D34,C33*M41)),0)</f>
        <v>#DIV/0!</v>
      </c>
      <c r="D34" s="2103"/>
      <c r="E34" s="773">
        <f>ROUND(IF(B25="楼层修正",SUM(V2:V16)*M40,C34*D34/10000),0)</f>
        <v>0</v>
      </c>
      <c r="F34" s="2104" t="s">
        <v>2030</v>
      </c>
      <c r="G34" s="2105"/>
      <c r="H34" s="2105"/>
      <c r="I34" s="2105"/>
      <c r="J34" s="2106"/>
      <c r="K34" s="1119"/>
      <c r="L34" s="3349" t="s">
        <v>3257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3254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3258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2034</v>
      </c>
      <c r="C37" s="175">
        <f>ROUND(D5*C22*C23*C24*C28*F37,0)</f>
        <v>16115</v>
      </c>
      <c r="D37" s="2098"/>
      <c r="E37" s="171">
        <f>ROUND(C37*D37/10000,0)</f>
        <v>0</v>
      </c>
      <c r="F37" s="171">
        <f>SUMIF(修正!A57:A68,G2,修正!B57:B68)</f>
        <v>0.7</v>
      </c>
      <c r="G37" s="171">
        <f>ROUND(IF(E2="工业",C37*$M$42,C37*$M$41),0)</f>
        <v>4029</v>
      </c>
      <c r="H37" s="171">
        <f>D37</f>
        <v>0</v>
      </c>
      <c r="I37" s="171">
        <f>ROUND(G37*H37/10000,0)</f>
        <v>0</v>
      </c>
      <c r="J37" s="3012"/>
      <c r="K37" s="3359" t="s">
        <v>3259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2035</v>
      </c>
      <c r="C38" s="175">
        <f>ROUND(D5*C22*C23*C24*C28*F38,0)</f>
        <v>9209</v>
      </c>
      <c r="D38" s="2098"/>
      <c r="E38" s="171">
        <f t="shared" ref="E38:E42" si="4">ROUND(C38*D38/10000,0)</f>
        <v>0</v>
      </c>
      <c r="F38" s="171">
        <f>SUMIF(修正!A57:A68,G2,修正!C57:C68)</f>
        <v>0.4</v>
      </c>
      <c r="G38" s="171">
        <f>ROUND(IF(E2="工业",C38*$M$42,C38*$M$41),0)</f>
        <v>2302</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3252</v>
      </c>
      <c r="C39" s="175">
        <f>ROUND(D5*C22*C23*C24*C28*F39,0)</f>
        <v>6906</v>
      </c>
      <c r="D39" s="2098"/>
      <c r="E39" s="171">
        <f t="shared" si="4"/>
        <v>0</v>
      </c>
      <c r="F39" s="171">
        <f>SUMIF(修正!A57:A68,G2,修正!D57:D68)</f>
        <v>0.3</v>
      </c>
      <c r="G39" s="171">
        <f>ROUND(IF(E2="工业",C39*$M$42,C39*$M$41),0)</f>
        <v>1727</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6906</v>
      </c>
      <c r="D40" s="2098"/>
      <c r="E40" s="171">
        <f t="shared" si="4"/>
        <v>0</v>
      </c>
      <c r="F40" s="175">
        <f>SUMIF(修正!A57:A68,G2,修正!E57:E68)</f>
        <v>0.3</v>
      </c>
      <c r="G40" s="171">
        <f>ROUND(IF(E2="工业",C40*$M$42,C40*$M$41),0)</f>
        <v>1727</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6545</v>
      </c>
      <c r="D41" s="2098"/>
      <c r="E41" s="171">
        <f t="shared" si="4"/>
        <v>0</v>
      </c>
      <c r="F41" s="175">
        <f>SUMIF(修正!A57:A68,G2,修正!F57:F68)</f>
        <v>0.3</v>
      </c>
      <c r="G41" s="171">
        <f>ROUND(IF(E2="工业",C41*$M$42,C41*$M$41),0)</f>
        <v>1636</v>
      </c>
      <c r="H41" s="171">
        <f t="shared" si="5"/>
        <v>0</v>
      </c>
      <c r="I41" s="171">
        <f t="shared" si="6"/>
        <v>0</v>
      </c>
      <c r="J41" s="2114"/>
      <c r="L41" s="3360" t="s">
        <v>3260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4364</v>
      </c>
      <c r="D42" s="2103"/>
      <c r="E42" s="187">
        <f t="shared" si="4"/>
        <v>0</v>
      </c>
      <c r="F42" s="767">
        <f>SUMIF(修正!A57:A68,G2,修正!G57:G68)</f>
        <v>0.2</v>
      </c>
      <c r="G42" s="187">
        <f>ROUND(IF(E2="工业",C42*$M$42,C42*$M$41),0)</f>
        <v>1091</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0.70860000000000001</v>
      </c>
      <c r="D44" s="171" t="s">
        <v>1997</v>
      </c>
      <c r="E44" s="2153">
        <f>G24</f>
        <v>5.5E-2</v>
      </c>
      <c r="F44" s="171" t="s">
        <v>2006</v>
      </c>
      <c r="G44" s="183">
        <f>项目基本情况!D15</f>
        <v>20.14</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f>1+E50</f>
        <v>1.0528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f>估价对象房地状况!C4</f>
        <v>0</v>
      </c>
      <c r="C50" s="2044" t="s">
        <v>3405</v>
      </c>
      <c r="D50" s="1065">
        <f t="shared" ref="D50:D58" si="7">SUMIF($J$49:$N$49,C50,J50:N50)</f>
        <v>1.4800000000000001E-2</v>
      </c>
      <c r="E50" s="744">
        <f>ROUND(SUM(D50:D58),4)</f>
        <v>5.28E-2</v>
      </c>
      <c r="F50" s="1814">
        <f>IF(E2="商业",SUMIF(L1:L12,G2,N1:N12),"——")</f>
        <v>9.9000000000000005E-2</v>
      </c>
      <c r="G50" s="1063">
        <f>H50</f>
        <v>1.4800000000000001E-2</v>
      </c>
      <c r="H50" s="1066">
        <f t="shared" ref="H50:H58" si="8">IFERROR(ROUNDDOWN($F$50*I50/2,4),"——")</f>
        <v>1.4800000000000001E-2</v>
      </c>
      <c r="I50" s="3367">
        <v>0.3</v>
      </c>
      <c r="J50" s="1064">
        <f t="shared" ref="J50:J58" si="9">K50+$G50</f>
        <v>2.9600000000000001E-2</v>
      </c>
      <c r="K50" s="1064">
        <f t="shared" ref="K50:K58" si="10">$L50+$G50</f>
        <v>1.4800000000000001E-2</v>
      </c>
      <c r="L50" s="1064">
        <v>0</v>
      </c>
      <c r="M50" s="1064">
        <f t="shared" ref="M50:N58" si="11">L50-$G50</f>
        <v>-1.4800000000000001E-2</v>
      </c>
      <c r="N50" s="1064">
        <f t="shared" si="11"/>
        <v>-2.9600000000000001E-2</v>
      </c>
      <c r="AA50" s="1120"/>
      <c r="AB50" s="1120"/>
      <c r="AC50" s="1120"/>
      <c r="AD50" s="1120"/>
      <c r="AE50" s="1120"/>
      <c r="AF50" s="1120"/>
      <c r="AG50" s="1120"/>
      <c r="AH50" s="1120"/>
      <c r="AI50" s="1120"/>
      <c r="AJ50" s="1120"/>
      <c r="AK50" s="1120"/>
    </row>
    <row r="51" spans="1:37" s="1119" customFormat="1" ht="14.25">
      <c r="A51" s="2130" t="s">
        <v>2051</v>
      </c>
      <c r="B51" s="2134">
        <f>估价对象房地状况!C18</f>
        <v>0</v>
      </c>
      <c r="C51" s="2044" t="s">
        <v>3405</v>
      </c>
      <c r="D51" s="1065">
        <f t="shared" si="7"/>
        <v>1.0800000000000001E-2</v>
      </c>
      <c r="E51" s="745"/>
      <c r="F51" s="1814"/>
      <c r="G51" s="1063">
        <f t="shared" ref="G51:G58" si="12">H51</f>
        <v>1.0800000000000001E-2</v>
      </c>
      <c r="H51" s="1066">
        <f t="shared" si="8"/>
        <v>1.0800000000000001E-2</v>
      </c>
      <c r="I51" s="3367">
        <v>0.22</v>
      </c>
      <c r="J51" s="1064">
        <f t="shared" si="9"/>
        <v>2.1600000000000001E-2</v>
      </c>
      <c r="K51" s="1064">
        <f t="shared" si="10"/>
        <v>1.0800000000000001E-2</v>
      </c>
      <c r="L51" s="1064">
        <v>0</v>
      </c>
      <c r="M51" s="1064">
        <f t="shared" si="11"/>
        <v>-1.0800000000000001E-2</v>
      </c>
      <c r="N51" s="1064">
        <f t="shared" si="11"/>
        <v>-2.1600000000000001E-2</v>
      </c>
      <c r="AA51" s="1120"/>
      <c r="AB51" s="1120"/>
      <c r="AC51" s="1120"/>
      <c r="AD51" s="1120"/>
      <c r="AE51" s="1120"/>
      <c r="AF51" s="1120"/>
      <c r="AG51" s="1120"/>
      <c r="AH51" s="1120"/>
      <c r="AI51" s="1120"/>
      <c r="AJ51" s="1120"/>
      <c r="AK51" s="1120"/>
    </row>
    <row r="52" spans="1:37" s="1119" customFormat="1" ht="36">
      <c r="A52" s="3369" t="s">
        <v>3262</v>
      </c>
      <c r="B52" s="2134">
        <f>估价对象房地状况!C19</f>
        <v>0</v>
      </c>
      <c r="C52" s="2044" t="s">
        <v>3405</v>
      </c>
      <c r="D52" s="1065">
        <f t="shared" si="7"/>
        <v>5.8999999999999999E-3</v>
      </c>
      <c r="E52" s="745"/>
      <c r="F52" s="1814"/>
      <c r="G52" s="1063">
        <f t="shared" si="12"/>
        <v>5.8999999999999999E-3</v>
      </c>
      <c r="H52" s="1066">
        <f t="shared" si="8"/>
        <v>5.8999999999999999E-3</v>
      </c>
      <c r="I52" s="3367">
        <v>0.12</v>
      </c>
      <c r="J52" s="1064">
        <f t="shared" si="9"/>
        <v>1.18E-2</v>
      </c>
      <c r="K52" s="1064">
        <f t="shared" si="10"/>
        <v>5.8999999999999999E-3</v>
      </c>
      <c r="L52" s="1064">
        <v>0</v>
      </c>
      <c r="M52" s="1064">
        <f t="shared" si="11"/>
        <v>-5.8999999999999999E-3</v>
      </c>
      <c r="N52" s="1064">
        <f t="shared" si="11"/>
        <v>-1.18E-2</v>
      </c>
      <c r="AA52" s="1120"/>
      <c r="AB52" s="1120"/>
      <c r="AC52" s="1120"/>
      <c r="AD52" s="1120"/>
      <c r="AE52" s="1120"/>
      <c r="AF52" s="1120"/>
      <c r="AG52" s="1120"/>
      <c r="AH52" s="1120"/>
      <c r="AI52" s="1120"/>
      <c r="AJ52" s="1120"/>
      <c r="AK52" s="1120"/>
    </row>
    <row r="53" spans="1:37" s="1119" customFormat="1" ht="36.75">
      <c r="A53" s="2130" t="s">
        <v>2052</v>
      </c>
      <c r="B53" s="2135" t="s">
        <v>2053</v>
      </c>
      <c r="C53" s="2044" t="s">
        <v>3405</v>
      </c>
      <c r="D53" s="1065">
        <f t="shared" si="7"/>
        <v>2.3999999999999998E-3</v>
      </c>
      <c r="E53" s="745"/>
      <c r="F53" s="1814"/>
      <c r="G53" s="1063">
        <f t="shared" si="12"/>
        <v>2.3999999999999998E-3</v>
      </c>
      <c r="H53" s="1066">
        <f t="shared" si="8"/>
        <v>2.3999999999999998E-3</v>
      </c>
      <c r="I53" s="3367">
        <v>0.05</v>
      </c>
      <c r="J53" s="1064">
        <f t="shared" si="9"/>
        <v>4.7999999999999996E-3</v>
      </c>
      <c r="K53" s="1064">
        <f t="shared" si="10"/>
        <v>2.3999999999999998E-3</v>
      </c>
      <c r="L53" s="1064">
        <v>0</v>
      </c>
      <c r="M53" s="1064">
        <f t="shared" si="11"/>
        <v>-2.3999999999999998E-3</v>
      </c>
      <c r="N53" s="1064">
        <f t="shared" si="11"/>
        <v>-4.7999999999999996E-3</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3405</v>
      </c>
      <c r="D54" s="1065">
        <f t="shared" si="7"/>
        <v>3.8999999999999998E-3</v>
      </c>
      <c r="E54" s="745"/>
      <c r="F54" s="1814"/>
      <c r="G54" s="1063">
        <f t="shared" si="12"/>
        <v>3.8999999999999998E-3</v>
      </c>
      <c r="H54" s="1066">
        <f t="shared" si="8"/>
        <v>3.8999999999999998E-3</v>
      </c>
      <c r="I54" s="3367">
        <v>0.08</v>
      </c>
      <c r="J54" s="1064">
        <f t="shared" si="9"/>
        <v>7.7999999999999996E-3</v>
      </c>
      <c r="K54" s="1064">
        <f t="shared" si="10"/>
        <v>3.8999999999999998E-3</v>
      </c>
      <c r="L54" s="1064">
        <v>0</v>
      </c>
      <c r="M54" s="1064">
        <f t="shared" si="11"/>
        <v>-3.8999999999999998E-3</v>
      </c>
      <c r="N54" s="1064">
        <f t="shared" si="11"/>
        <v>-7.7999999999999996E-3</v>
      </c>
      <c r="AA54" s="1120"/>
      <c r="AB54" s="1120"/>
      <c r="AC54" s="1120"/>
      <c r="AD54" s="1120"/>
      <c r="AE54" s="1120"/>
      <c r="AF54" s="1120"/>
      <c r="AG54" s="1120"/>
      <c r="AH54" s="1120"/>
      <c r="AI54" s="1120"/>
      <c r="AJ54" s="1120"/>
      <c r="AK54" s="1120"/>
    </row>
    <row r="55" spans="1:37" s="1119" customFormat="1" ht="24">
      <c r="A55" s="2130" t="s">
        <v>2055</v>
      </c>
      <c r="B55" s="2136" t="s">
        <v>2056</v>
      </c>
      <c r="C55" s="2044" t="s">
        <v>3405</v>
      </c>
      <c r="D55" s="1065">
        <f t="shared" si="7"/>
        <v>2.3999999999999998E-3</v>
      </c>
      <c r="E55" s="745"/>
      <c r="F55" s="1814"/>
      <c r="G55" s="1063">
        <f t="shared" si="12"/>
        <v>2.3999999999999998E-3</v>
      </c>
      <c r="H55" s="1066">
        <f t="shared" si="8"/>
        <v>2.3999999999999998E-3</v>
      </c>
      <c r="I55" s="3367">
        <v>0.05</v>
      </c>
      <c r="J55" s="1064">
        <f t="shared" si="9"/>
        <v>4.7999999999999996E-3</v>
      </c>
      <c r="K55" s="1064">
        <f t="shared" si="10"/>
        <v>2.3999999999999998E-3</v>
      </c>
      <c r="L55" s="1064">
        <v>0</v>
      </c>
      <c r="M55" s="1064">
        <f t="shared" si="11"/>
        <v>-2.3999999999999998E-3</v>
      </c>
      <c r="N55" s="1064">
        <f t="shared" si="11"/>
        <v>-4.7999999999999996E-3</v>
      </c>
      <c r="AA55" s="1120"/>
      <c r="AB55" s="1120"/>
      <c r="AC55" s="1120"/>
      <c r="AD55" s="1120"/>
      <c r="AE55" s="1120"/>
      <c r="AF55" s="1120"/>
      <c r="AG55" s="1120"/>
      <c r="AH55" s="1120"/>
      <c r="AI55" s="1120"/>
      <c r="AJ55" s="1120"/>
      <c r="AK55" s="1120"/>
    </row>
    <row r="56" spans="1:37" s="1119" customFormat="1" ht="24">
      <c r="A56" s="2137" t="s">
        <v>2057</v>
      </c>
      <c r="B56" s="1326">
        <f>估价对象房地状况!C21</f>
        <v>0</v>
      </c>
      <c r="C56" s="2044" t="s">
        <v>3405</v>
      </c>
      <c r="D56" s="1065">
        <f t="shared" si="7"/>
        <v>2.3999999999999998E-3</v>
      </c>
      <c r="E56" s="745"/>
      <c r="F56" s="1814"/>
      <c r="G56" s="1063">
        <f t="shared" si="12"/>
        <v>2.3999999999999998E-3</v>
      </c>
      <c r="H56" s="1066">
        <f t="shared" si="8"/>
        <v>2.3999999999999998E-3</v>
      </c>
      <c r="I56" s="3367">
        <v>0.05</v>
      </c>
      <c r="J56" s="1064">
        <f t="shared" si="9"/>
        <v>4.7999999999999996E-3</v>
      </c>
      <c r="K56" s="1064">
        <f t="shared" si="10"/>
        <v>2.3999999999999998E-3</v>
      </c>
      <c r="L56" s="1064">
        <v>0</v>
      </c>
      <c r="M56" s="1064">
        <f t="shared" si="11"/>
        <v>-2.3999999999999998E-3</v>
      </c>
      <c r="N56" s="1064">
        <f t="shared" si="11"/>
        <v>-4.7999999999999996E-3</v>
      </c>
      <c r="AA56" s="1120"/>
      <c r="AB56" s="1120"/>
      <c r="AC56" s="1120"/>
      <c r="AD56" s="1120"/>
      <c r="AE56" s="1120"/>
      <c r="AF56" s="1120"/>
      <c r="AG56" s="1120"/>
      <c r="AH56" s="1120"/>
      <c r="AI56" s="1120"/>
      <c r="AJ56" s="1120"/>
      <c r="AK56" s="1120"/>
    </row>
    <row r="57" spans="1:37" s="1119" customFormat="1" ht="24">
      <c r="A57" s="2137" t="s">
        <v>2058</v>
      </c>
      <c r="B57" s="2134">
        <f>估价对象房地状况!C22</f>
        <v>0</v>
      </c>
      <c r="C57" s="2044" t="s">
        <v>3406</v>
      </c>
      <c r="D57" s="1065">
        <f t="shared" si="7"/>
        <v>7.7999999999999996E-3</v>
      </c>
      <c r="E57" s="745"/>
      <c r="F57" s="1814"/>
      <c r="G57" s="1063">
        <f t="shared" si="12"/>
        <v>3.8999999999999998E-3</v>
      </c>
      <c r="H57" s="1066">
        <f t="shared" si="8"/>
        <v>3.8999999999999998E-3</v>
      </c>
      <c r="I57" s="3367">
        <v>0.08</v>
      </c>
      <c r="J57" s="1064">
        <f t="shared" si="9"/>
        <v>7.7999999999999996E-3</v>
      </c>
      <c r="K57" s="1064">
        <f t="shared" si="10"/>
        <v>3.8999999999999998E-3</v>
      </c>
      <c r="L57" s="1064">
        <v>0</v>
      </c>
      <c r="M57" s="1064">
        <f t="shared" si="11"/>
        <v>-3.8999999999999998E-3</v>
      </c>
      <c r="N57" s="1064">
        <f t="shared" si="11"/>
        <v>-7.7999999999999996E-3</v>
      </c>
      <c r="AA57" s="1120"/>
      <c r="AB57" s="1120"/>
      <c r="AC57" s="1120"/>
      <c r="AD57" s="1120"/>
      <c r="AE57" s="1120"/>
      <c r="AF57" s="1120"/>
      <c r="AG57" s="1120"/>
      <c r="AH57" s="1120"/>
      <c r="AI57" s="1120"/>
      <c r="AJ57" s="1120"/>
      <c r="AK57" s="1120"/>
    </row>
    <row r="58" spans="1:37" s="1119" customFormat="1" ht="24.75" thickBot="1">
      <c r="A58" s="2138" t="s">
        <v>2059</v>
      </c>
      <c r="B58" s="2139">
        <f>估价对象房地状况!C20</f>
        <v>0</v>
      </c>
      <c r="C58" s="2044" t="s">
        <v>3405</v>
      </c>
      <c r="D58" s="1065">
        <f t="shared" si="7"/>
        <v>2.3999999999999998E-3</v>
      </c>
      <c r="E58" s="746"/>
      <c r="F58" s="1814"/>
      <c r="G58" s="1063">
        <f t="shared" si="12"/>
        <v>2.3999999999999998E-3</v>
      </c>
      <c r="H58" s="1066">
        <f t="shared" si="8"/>
        <v>2.3999999999999998E-3</v>
      </c>
      <c r="I58" s="3368">
        <v>0.05</v>
      </c>
      <c r="J58" s="1064">
        <f t="shared" si="9"/>
        <v>4.7999999999999996E-3</v>
      </c>
      <c r="K58" s="1064">
        <f t="shared" si="10"/>
        <v>2.3999999999999998E-3</v>
      </c>
      <c r="L58" s="1064">
        <v>0</v>
      </c>
      <c r="M58" s="1064">
        <f t="shared" si="11"/>
        <v>-2.3999999999999998E-3</v>
      </c>
      <c r="N58" s="1064">
        <f t="shared" si="11"/>
        <v>-4.7999999999999996E-3</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f>估价对象房地状况!C17</f>
        <v>0</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4.25">
      <c r="A62" s="2130" t="s">
        <v>2051</v>
      </c>
      <c r="B62" s="2134">
        <f>估价对象房地状况!C18</f>
        <v>0</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4">
      <c r="A67" s="2130" t="s">
        <v>2057</v>
      </c>
      <c r="B67" s="1326">
        <f>估价对象房地状况!C21</f>
        <v>0</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4">
      <c r="A68" s="2130" t="s">
        <v>2058</v>
      </c>
      <c r="B68" s="1326">
        <f>估价对象房地状况!C22</f>
        <v>0</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4.75" thickBot="1">
      <c r="A69" s="2138" t="s">
        <v>2059</v>
      </c>
      <c r="B69" s="2140">
        <f>估价对象房地状况!C20</f>
        <v>0</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f>估价对象房地状况!G15</f>
        <v>0</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14.25">
      <c r="A84" s="2130" t="s">
        <v>2051</v>
      </c>
      <c r="B84" s="2134">
        <f>估价对象房地状况!G16</f>
        <v>0</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4">
      <c r="A87" s="2130" t="s">
        <v>2057</v>
      </c>
      <c r="B87" s="1326">
        <f>估价对象房地状况!G19</f>
        <v>0</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4">
      <c r="A88" s="2130" t="s">
        <v>2058</v>
      </c>
      <c r="B88" s="1326">
        <f>估价对象房地状况!G20</f>
        <v>0</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15" thickBot="1">
      <c r="A90" s="2138" t="s">
        <v>2070</v>
      </c>
      <c r="B90" s="2143">
        <f>估价对象房地状况!G18</f>
        <v>0</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2605</v>
      </c>
      <c r="B91" s="3378">
        <f>1+E93</f>
        <v>1</v>
      </c>
      <c r="C91" s="3371"/>
      <c r="D91" s="3372"/>
      <c r="E91" s="1814"/>
      <c r="F91" s="1814"/>
      <c r="G91" s="3373"/>
      <c r="H91" s="3374"/>
      <c r="I91" s="3375"/>
      <c r="J91" s="3376"/>
      <c r="K91" s="3376"/>
      <c r="L91" s="3376"/>
      <c r="M91" s="3376"/>
      <c r="N91" s="3376"/>
    </row>
    <row r="92" spans="1:37" ht="24.75">
      <c r="A92" s="3379" t="s">
        <v>3264</v>
      </c>
      <c r="B92" s="3366"/>
      <c r="C92" s="3366" t="s">
        <v>3273</v>
      </c>
      <c r="D92" s="3366" t="s">
        <v>3274</v>
      </c>
      <c r="E92" s="3348" t="s">
        <v>3275</v>
      </c>
      <c r="F92" s="3381" t="s">
        <v>3276</v>
      </c>
      <c r="G92" s="3366" t="s">
        <v>3277</v>
      </c>
      <c r="H92" s="3388" t="s">
        <v>3280</v>
      </c>
      <c r="I92" s="3366" t="s">
        <v>3281</v>
      </c>
      <c r="J92" s="3389" t="s">
        <v>3282</v>
      </c>
      <c r="K92" s="3389" t="s">
        <v>3283</v>
      </c>
      <c r="L92" s="3389" t="s">
        <v>3284</v>
      </c>
      <c r="M92" s="3389" t="s">
        <v>3285</v>
      </c>
      <c r="N92" s="3389" t="s">
        <v>3286</v>
      </c>
    </row>
    <row r="93" spans="1:37" ht="24">
      <c r="A93" s="3369" t="s">
        <v>3265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3266</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3267</v>
      </c>
      <c r="B96" s="3385" t="s">
        <v>3278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3268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3269</v>
      </c>
      <c r="B98" s="3386" t="s">
        <v>3279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3270</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3271</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3272</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3287</v>
      </c>
      <c r="B103" s="3754"/>
      <c r="C103" s="3754"/>
      <c r="D103" s="3754"/>
      <c r="E103" s="3754"/>
      <c r="F103" s="3754"/>
      <c r="G103" s="3754"/>
      <c r="H103" s="3754"/>
      <c r="I103" s="3754"/>
      <c r="J103" s="3754"/>
      <c r="K103" s="3390"/>
      <c r="L103" s="3390"/>
      <c r="M103" s="3390"/>
      <c r="N103" s="3390"/>
    </row>
    <row r="104" spans="1:14">
      <c r="A104" s="3755" t="s">
        <v>3288</v>
      </c>
      <c r="B104" s="3755" t="s">
        <v>3289</v>
      </c>
      <c r="C104" s="3391" t="s">
        <v>3290</v>
      </c>
      <c r="D104" s="3392"/>
      <c r="E104" s="3392"/>
      <c r="F104" s="3392"/>
      <c r="G104" s="3392"/>
      <c r="H104" s="3392"/>
      <c r="I104" s="3392"/>
      <c r="J104" s="3393"/>
      <c r="K104" s="3394"/>
      <c r="L104" s="3394"/>
      <c r="M104" s="3394"/>
      <c r="N104" s="3394"/>
    </row>
    <row r="105" spans="1:14">
      <c r="A105" s="3755"/>
      <c r="B105" s="3755"/>
      <c r="C105" s="3395" t="s">
        <v>3291</v>
      </c>
      <c r="D105" s="3395" t="s">
        <v>3292</v>
      </c>
      <c r="E105" s="3395" t="s">
        <v>3293</v>
      </c>
      <c r="F105" s="3395" t="s">
        <v>3294</v>
      </c>
      <c r="G105" s="3395" t="s">
        <v>3295</v>
      </c>
      <c r="H105" s="3395" t="s">
        <v>3296</v>
      </c>
      <c r="I105" s="3395" t="s">
        <v>3297</v>
      </c>
      <c r="J105" s="3395" t="s">
        <v>3298</v>
      </c>
      <c r="K105" s="3395" t="s">
        <v>3299</v>
      </c>
      <c r="L105" s="3395" t="s">
        <v>3300</v>
      </c>
      <c r="M105" s="3395" t="s">
        <v>3301</v>
      </c>
      <c r="N105" s="3395" t="s">
        <v>3302</v>
      </c>
    </row>
    <row r="106" spans="1:14">
      <c r="A106" s="3741" t="s">
        <v>3303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3261</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43"/>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44" t="s">
        <v>3304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3305</v>
      </c>
      <c r="B116" s="3416">
        <f>G3</f>
        <v>4.7</v>
      </c>
      <c r="C116" s="3400" t="s">
        <v>3306</v>
      </c>
      <c r="D116" s="3401">
        <f>SUMPRODUCT((A118:A122=F116)*(B117:M117=H116)*B118:M122)</f>
        <v>0.94510000000000005</v>
      </c>
      <c r="E116" s="2000" t="s">
        <v>3307</v>
      </c>
      <c r="F116" s="3402" t="str">
        <f>E2</f>
        <v>商业</v>
      </c>
      <c r="G116" s="2000" t="s">
        <v>3308</v>
      </c>
      <c r="H116" s="3402" t="str">
        <f>G2</f>
        <v>二级</v>
      </c>
      <c r="I116" s="2000"/>
      <c r="J116" s="3403"/>
      <c r="K116" s="3403"/>
      <c r="L116" s="3403"/>
      <c r="M116" s="3403"/>
      <c r="N116" s="3398"/>
    </row>
    <row r="117" spans="1:14">
      <c r="A117" s="3404"/>
      <c r="B117" s="3405" t="s">
        <v>3309</v>
      </c>
      <c r="C117" s="3405" t="s">
        <v>3310</v>
      </c>
      <c r="D117" s="3405" t="s">
        <v>3311</v>
      </c>
      <c r="E117" s="3406" t="s">
        <v>3312</v>
      </c>
      <c r="F117" s="3406" t="s">
        <v>3313</v>
      </c>
      <c r="G117" s="3406" t="s">
        <v>3314</v>
      </c>
      <c r="H117" s="3407" t="s">
        <v>3315</v>
      </c>
      <c r="I117" s="3407" t="s">
        <v>3316</v>
      </c>
      <c r="J117" s="3408" t="s">
        <v>3317</v>
      </c>
      <c r="K117" s="3408" t="s">
        <v>3318</v>
      </c>
      <c r="L117" s="3408" t="s">
        <v>3319</v>
      </c>
      <c r="M117" s="3409" t="s">
        <v>3320</v>
      </c>
      <c r="N117" s="3398"/>
    </row>
    <row r="118" spans="1:14">
      <c r="A118" s="3410" t="s">
        <v>3321</v>
      </c>
      <c r="B118" s="3388">
        <f>ROUND(0.9968-0.011*B116,4)</f>
        <v>0.94510000000000005</v>
      </c>
      <c r="C118" s="3388">
        <f>B118</f>
        <v>0.94510000000000005</v>
      </c>
      <c r="D118" s="3388">
        <f>ROUND(0.949-0.014*B116,4)</f>
        <v>0.88319999999999999</v>
      </c>
      <c r="E118" s="3388">
        <f>D118</f>
        <v>0.88319999999999999</v>
      </c>
      <c r="F118" s="3388">
        <f>E118</f>
        <v>0.88319999999999999</v>
      </c>
      <c r="G118" s="3388">
        <f>F118</f>
        <v>0.88319999999999999</v>
      </c>
      <c r="H118" s="3388">
        <f>G118</f>
        <v>0.88319999999999999</v>
      </c>
      <c r="I118" s="3388">
        <f>ROUND(0.8486-0.018*B116,4)</f>
        <v>0.76400000000000001</v>
      </c>
      <c r="J118" s="3388">
        <f t="shared" ref="J118:M122" si="36">I118</f>
        <v>0.76400000000000001</v>
      </c>
      <c r="K118" s="3388">
        <f t="shared" si="36"/>
        <v>0.76400000000000001</v>
      </c>
      <c r="L118" s="3388">
        <f t="shared" si="36"/>
        <v>0.76400000000000001</v>
      </c>
      <c r="M118" s="3411">
        <f t="shared" si="36"/>
        <v>0.76400000000000001</v>
      </c>
      <c r="N118" s="3398"/>
    </row>
    <row r="119" spans="1:14">
      <c r="A119" s="3410" t="s">
        <v>3322</v>
      </c>
      <c r="B119" s="3388">
        <f>ROUND(0.993-0.0112*B116,4)</f>
        <v>0.94040000000000001</v>
      </c>
      <c r="C119" s="3388">
        <f>B119</f>
        <v>0.94040000000000001</v>
      </c>
      <c r="D119" s="3388">
        <f>ROUND(0.9415-0.0142*B116,4)</f>
        <v>0.87480000000000002</v>
      </c>
      <c r="E119" s="3388">
        <f t="shared" ref="E119:H120" si="37">D119</f>
        <v>0.87480000000000002</v>
      </c>
      <c r="F119" s="3388">
        <f t="shared" si="37"/>
        <v>0.87480000000000002</v>
      </c>
      <c r="G119" s="3388">
        <f t="shared" si="37"/>
        <v>0.87480000000000002</v>
      </c>
      <c r="H119" s="3388">
        <f t="shared" si="37"/>
        <v>0.87480000000000002</v>
      </c>
      <c r="I119" s="3388">
        <f>ROUND(0.838-0.0182*B116,4)</f>
        <v>0.75249999999999995</v>
      </c>
      <c r="J119" s="3388">
        <f t="shared" si="36"/>
        <v>0.75249999999999995</v>
      </c>
      <c r="K119" s="3388">
        <f t="shared" si="36"/>
        <v>0.75249999999999995</v>
      </c>
      <c r="L119" s="3388">
        <f t="shared" si="36"/>
        <v>0.75249999999999995</v>
      </c>
      <c r="M119" s="3411">
        <f t="shared" si="36"/>
        <v>0.75249999999999995</v>
      </c>
      <c r="N119" s="3398"/>
    </row>
    <row r="120" spans="1:14">
      <c r="A120" s="3410" t="s">
        <v>3323</v>
      </c>
      <c r="B120" s="3388">
        <f>ROUND(0.9448-0.0115*B116,4)</f>
        <v>0.89080000000000004</v>
      </c>
      <c r="C120" s="3388">
        <f>B120</f>
        <v>0.89080000000000004</v>
      </c>
      <c r="D120" s="3388">
        <f>ROUND(0.937-0.0145*B116,4)</f>
        <v>0.86890000000000001</v>
      </c>
      <c r="E120" s="3388">
        <f t="shared" si="37"/>
        <v>0.86890000000000001</v>
      </c>
      <c r="F120" s="3388">
        <f t="shared" si="37"/>
        <v>0.86890000000000001</v>
      </c>
      <c r="G120" s="3388">
        <f t="shared" si="37"/>
        <v>0.86890000000000001</v>
      </c>
      <c r="H120" s="3388">
        <f t="shared" si="37"/>
        <v>0.86890000000000001</v>
      </c>
      <c r="I120" s="3388">
        <f>ROUND(0.7965-0.0185*B116,4)</f>
        <v>0.70960000000000001</v>
      </c>
      <c r="J120" s="3388">
        <f t="shared" si="36"/>
        <v>0.70960000000000001</v>
      </c>
      <c r="K120" s="3388">
        <f t="shared" si="36"/>
        <v>0.70960000000000001</v>
      </c>
      <c r="L120" s="3388">
        <f t="shared" si="36"/>
        <v>0.70960000000000001</v>
      </c>
      <c r="M120" s="3411">
        <f t="shared" si="36"/>
        <v>0.70960000000000001</v>
      </c>
      <c r="N120" s="3398"/>
    </row>
    <row r="121" spans="1:14" ht="13.5" thickBot="1">
      <c r="A121" s="3412" t="s">
        <v>3324</v>
      </c>
      <c r="B121" s="3413">
        <f>ROUND(0.7836-0.012*B116,4)</f>
        <v>0.72719999999999996</v>
      </c>
      <c r="C121" s="3413">
        <f>B121</f>
        <v>0.72719999999999996</v>
      </c>
      <c r="D121" s="3413">
        <f>ROUND(0.753-0.015*B116,4)</f>
        <v>0.6825</v>
      </c>
      <c r="E121" s="3413">
        <f>D121</f>
        <v>0.6825</v>
      </c>
      <c r="F121" s="3413">
        <f>E121</f>
        <v>0.6825</v>
      </c>
      <c r="G121" s="3413">
        <f>ROUND(0.6612-0.018*B116,4)</f>
        <v>0.5766</v>
      </c>
      <c r="H121" s="3413">
        <f>G121</f>
        <v>0.5766</v>
      </c>
      <c r="I121" s="3413">
        <f>ROUND(0.5905-0.019*B116,4)</f>
        <v>0.50119999999999998</v>
      </c>
      <c r="J121" s="3413">
        <f t="shared" si="36"/>
        <v>0.50119999999999998</v>
      </c>
      <c r="K121" s="3413">
        <f t="shared" si="36"/>
        <v>0.50119999999999998</v>
      </c>
      <c r="L121" s="3413">
        <f t="shared" si="36"/>
        <v>0.50119999999999998</v>
      </c>
      <c r="M121" s="3414">
        <f t="shared" si="36"/>
        <v>0.50119999999999998</v>
      </c>
      <c r="N121" s="3398"/>
    </row>
    <row r="122" spans="1:14">
      <c r="A122" s="3415" t="s">
        <v>2605</v>
      </c>
      <c r="B122" s="3388">
        <f>ROUND(0.9404-0.0106*B116,4)</f>
        <v>0.89059999999999995</v>
      </c>
      <c r="C122" s="3388">
        <f>B122</f>
        <v>0.89059999999999995</v>
      </c>
      <c r="D122" s="3388">
        <f>ROUND(0.8955-0.0135*B116,4)</f>
        <v>0.83209999999999995</v>
      </c>
      <c r="E122" s="3388">
        <f t="shared" ref="E122:H122" si="38">D122</f>
        <v>0.83209999999999995</v>
      </c>
      <c r="F122" s="3388">
        <f t="shared" si="38"/>
        <v>0.83209999999999995</v>
      </c>
      <c r="G122" s="3388">
        <f t="shared" si="38"/>
        <v>0.83209999999999995</v>
      </c>
      <c r="H122" s="3388">
        <f t="shared" si="38"/>
        <v>0.83209999999999995</v>
      </c>
      <c r="I122" s="3388">
        <f>ROUND(0.7632-0.0166*B116,4)</f>
        <v>0.68520000000000003</v>
      </c>
      <c r="J122" s="3388">
        <f t="shared" si="36"/>
        <v>0.68520000000000003</v>
      </c>
      <c r="K122" s="3388">
        <f t="shared" si="36"/>
        <v>0.68520000000000003</v>
      </c>
      <c r="L122" s="3388">
        <f t="shared" si="36"/>
        <v>0.68520000000000003</v>
      </c>
      <c r="M122" s="3411">
        <f t="shared" si="36"/>
        <v>0.68520000000000003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9" priority="6" stopIfTrue="1" operator="notEqual">
      <formula>"——"</formula>
    </cfRule>
  </conditionalFormatting>
  <conditionalFormatting sqref="F61">
    <cfRule type="cellIs" dxfId="138" priority="5" stopIfTrue="1" operator="notEqual">
      <formula>"——"</formula>
    </cfRule>
  </conditionalFormatting>
  <conditionalFormatting sqref="F72">
    <cfRule type="cellIs" dxfId="137" priority="4" stopIfTrue="1" operator="notEqual">
      <formula>"——"</formula>
    </cfRule>
  </conditionalFormatting>
  <conditionalFormatting sqref="F83">
    <cfRule type="cellIs" dxfId="136" priority="3" stopIfTrue="1" operator="notEqual">
      <formula>"——"</formula>
    </cfRule>
  </conditionalFormatting>
  <conditionalFormatting sqref="H50:H58 H61:H69 H72:H80 H83:H91">
    <cfRule type="cellIs" dxfId="135" priority="2" operator="notEqual">
      <formula>"——"</formula>
    </cfRule>
  </conditionalFormatting>
  <conditionalFormatting sqref="H93:H101">
    <cfRule type="cellIs" dxfId="134"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1260</v>
      </c>
      <c r="B1" s="1747"/>
      <c r="C1" s="1748"/>
      <c r="D1" s="1747"/>
      <c r="E1" s="1747"/>
      <c r="F1" s="1749" t="s">
        <v>1261</v>
      </c>
      <c r="G1" s="1561"/>
      <c r="H1" s="1750" t="str">
        <f>IF(G1="现房","——","估价对象范围")</f>
        <v>估价对象范围</v>
      </c>
      <c r="I1" s="1751"/>
    </row>
    <row r="2" spans="1:12" ht="21.75" customHeight="1" thickBot="1">
      <c r="A2" s="3608" t="str">
        <f>项目基本情况!S2</f>
        <v>北京市房地产</v>
      </c>
      <c r="B2" s="3609"/>
      <c r="C2" s="3609"/>
      <c r="D2" s="3609"/>
      <c r="E2" s="3609"/>
      <c r="F2" s="3609"/>
      <c r="G2" s="3609"/>
      <c r="H2" s="3609"/>
      <c r="I2" s="3610"/>
    </row>
    <row r="3" spans="1:12" ht="12.75">
      <c r="A3" s="3612" t="s">
        <v>1262</v>
      </c>
      <c r="B3" s="3613"/>
      <c r="C3" s="3613"/>
      <c r="D3" s="3613"/>
      <c r="E3" s="3613"/>
      <c r="F3" s="3613"/>
      <c r="G3" s="3613"/>
      <c r="H3" s="3613"/>
      <c r="I3" s="3613"/>
    </row>
    <row r="4" spans="1:12" ht="14.25">
      <c r="A4" s="1754" t="s">
        <v>1263</v>
      </c>
      <c r="B4" s="1755" t="s">
        <v>1264</v>
      </c>
      <c r="C4" s="1756" t="s">
        <v>3395</v>
      </c>
      <c r="D4" s="1756" t="s">
        <v>3383</v>
      </c>
      <c r="E4" s="3614" t="s">
        <v>1265</v>
      </c>
      <c r="F4" s="3615"/>
      <c r="G4" s="3615"/>
      <c r="H4" s="3615"/>
      <c r="I4" s="3616"/>
      <c r="K4" s="146" t="str">
        <f>IF(ISNUMBER(FIND("比较法",'结果表-办公'!C4)),"比较法",IF(ISNUMBER(FIND("成本法",'结果表-办公'!C4)),"成本法",IF(ISNUMBER(FIND("假设开发法",'结果表-办公'!C4)),"假设开发法",IF(ISNUMBER(FIND("收益法",'结果表-办公'!C4)),"收益法","基准地价系数修正法"))))</f>
        <v>比较法</v>
      </c>
      <c r="L4" s="146"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588" t="s">
        <v>1266</v>
      </c>
      <c r="B5" s="3575">
        <v>25</v>
      </c>
      <c r="C5" s="3591"/>
      <c r="D5" s="3611"/>
      <c r="E5" s="131" t="s">
        <v>1267</v>
      </c>
      <c r="F5" s="1757"/>
      <c r="G5" s="1757"/>
      <c r="H5" s="1757"/>
      <c r="I5" s="1373"/>
    </row>
    <row r="6" spans="1:12" ht="12.75">
      <c r="A6" s="3588"/>
      <c r="B6" s="3575"/>
      <c r="C6" s="3592"/>
      <c r="D6" s="3611"/>
      <c r="E6" s="131" t="s">
        <v>1268</v>
      </c>
      <c r="F6" s="1757"/>
      <c r="G6" s="1757"/>
      <c r="H6" s="1757"/>
      <c r="I6" s="1373"/>
    </row>
    <row r="7" spans="1:12" ht="12.75">
      <c r="A7" s="3588"/>
      <c r="B7" s="3575"/>
      <c r="C7" s="3593"/>
      <c r="D7" s="3611"/>
      <c r="E7" s="131" t="s">
        <v>1269</v>
      </c>
      <c r="F7" s="1757"/>
      <c r="G7" s="1757"/>
      <c r="H7" s="1757"/>
      <c r="I7" s="1373"/>
    </row>
    <row r="8" spans="1:12" ht="12.75">
      <c r="A8" s="3588" t="s">
        <v>1270</v>
      </c>
      <c r="B8" s="3575">
        <v>15</v>
      </c>
      <c r="C8" s="3591"/>
      <c r="D8" s="3611"/>
      <c r="E8" s="131" t="s">
        <v>1271</v>
      </c>
      <c r="F8" s="1757"/>
      <c r="G8" s="1757"/>
      <c r="H8" s="1757"/>
      <c r="I8" s="1373"/>
    </row>
    <row r="9" spans="1:12" ht="12.75">
      <c r="A9" s="3588"/>
      <c r="B9" s="3575"/>
      <c r="C9" s="3593"/>
      <c r="D9" s="3611"/>
      <c r="E9" s="131" t="s">
        <v>1272</v>
      </c>
      <c r="F9" s="1757"/>
      <c r="G9" s="1757"/>
      <c r="H9" s="1757"/>
      <c r="I9" s="1373"/>
    </row>
    <row r="10" spans="1:12" ht="12.75">
      <c r="A10" s="3588" t="s">
        <v>1273</v>
      </c>
      <c r="B10" s="3575">
        <v>15</v>
      </c>
      <c r="C10" s="3591"/>
      <c r="D10" s="3611"/>
      <c r="E10" s="131" t="s">
        <v>1274</v>
      </c>
      <c r="F10" s="1757"/>
      <c r="G10" s="1757"/>
      <c r="H10" s="1757"/>
      <c r="I10" s="1373"/>
    </row>
    <row r="11" spans="1:12" ht="12.75">
      <c r="A11" s="3588"/>
      <c r="B11" s="3575"/>
      <c r="C11" s="3593"/>
      <c r="D11" s="3611"/>
      <c r="E11" s="131" t="s">
        <v>1275</v>
      </c>
      <c r="F11" s="1757"/>
      <c r="G11" s="1757"/>
      <c r="H11" s="1757"/>
      <c r="I11" s="1373"/>
    </row>
    <row r="12" spans="1:12" ht="12.75">
      <c r="A12" s="3588" t="s">
        <v>1276</v>
      </c>
      <c r="B12" s="3575">
        <v>15</v>
      </c>
      <c r="C12" s="3591"/>
      <c r="D12" s="3611"/>
      <c r="E12" s="131" t="s">
        <v>1277</v>
      </c>
      <c r="F12" s="1757"/>
      <c r="G12" s="1757"/>
      <c r="H12" s="1757"/>
      <c r="I12" s="1373"/>
    </row>
    <row r="13" spans="1:12" ht="12.75">
      <c r="A13" s="3588"/>
      <c r="B13" s="3575"/>
      <c r="C13" s="3593"/>
      <c r="D13" s="3611"/>
      <c r="E13" s="131" t="s">
        <v>1278</v>
      </c>
      <c r="F13" s="1757"/>
      <c r="G13" s="1757"/>
      <c r="H13" s="1757"/>
      <c r="I13" s="1373"/>
    </row>
    <row r="14" spans="1:12" ht="12.75">
      <c r="A14" s="3588" t="s">
        <v>1279</v>
      </c>
      <c r="B14" s="3575">
        <v>30</v>
      </c>
      <c r="C14" s="3591">
        <v>4</v>
      </c>
      <c r="D14" s="3611">
        <v>6</v>
      </c>
      <c r="E14" s="131" t="s">
        <v>1280</v>
      </c>
      <c r="F14" s="1757"/>
      <c r="G14" s="1757"/>
      <c r="H14" s="1757"/>
      <c r="I14" s="1373"/>
    </row>
    <row r="15" spans="1:12" ht="12.75">
      <c r="A15" s="3588"/>
      <c r="B15" s="3575"/>
      <c r="C15" s="3592"/>
      <c r="D15" s="3611"/>
      <c r="E15" s="131" t="s">
        <v>1281</v>
      </c>
      <c r="F15" s="1757"/>
      <c r="G15" s="1757"/>
      <c r="H15" s="1757"/>
      <c r="I15" s="1373"/>
    </row>
    <row r="16" spans="1:12" ht="12.75">
      <c r="A16" s="3588"/>
      <c r="B16" s="3575"/>
      <c r="C16" s="3593"/>
      <c r="D16" s="3611"/>
      <c r="E16" s="131" t="s">
        <v>1282</v>
      </c>
      <c r="F16" s="1757"/>
      <c r="G16" s="1757"/>
      <c r="H16" s="1757"/>
      <c r="I16" s="1373"/>
    </row>
    <row r="17" spans="1:36" ht="15">
      <c r="A17" s="1758" t="s">
        <v>1283</v>
      </c>
      <c r="B17" s="56"/>
      <c r="C17" s="132">
        <f>SUM(C5:C16)</f>
        <v>4</v>
      </c>
      <c r="D17" s="132">
        <f>SUM(D5:D16)</f>
        <v>6</v>
      </c>
      <c r="E17" s="129"/>
      <c r="F17" s="129"/>
      <c r="G17" s="129"/>
      <c r="H17" s="129"/>
      <c r="I17" s="129"/>
      <c r="K17" s="302"/>
      <c r="L17" s="302" t="s">
        <v>1284</v>
      </c>
      <c r="M17" s="302" t="s">
        <v>1285</v>
      </c>
    </row>
    <row r="18" spans="1:36" ht="31.9" customHeight="1" thickBot="1">
      <c r="A18" s="1759" t="s">
        <v>1286</v>
      </c>
      <c r="B18" s="1760"/>
      <c r="C18" s="133">
        <f>ROUND(C17/SUM(C17:D17),2)</f>
        <v>0.4</v>
      </c>
      <c r="D18" s="133">
        <f>1-C18</f>
        <v>0.6</v>
      </c>
      <c r="E18" s="3598" t="s">
        <v>2129</v>
      </c>
      <c r="F18" s="3599"/>
      <c r="G18" s="3599"/>
      <c r="H18" s="3599"/>
      <c r="I18" s="3599"/>
      <c r="K18" s="302" t="s">
        <v>1287</v>
      </c>
      <c r="L18" s="302">
        <f>IF(C1="",'数据-汇总表'!E3,SUMIF(项目类型,C1,'数据-汇总表'!E17:E26)+SUMIF(项目类型,C1,'数据-汇总表'!I17:I26))</f>
        <v>778.02</v>
      </c>
      <c r="M18" s="302">
        <f>IF(C1="",'数据-汇总表'!E3,SUMIF(项目类型,C1,'数据-汇总表'!E17:E26))</f>
        <v>778.02</v>
      </c>
    </row>
    <row r="19" spans="1:36" ht="15">
      <c r="A19" s="1761" t="s">
        <v>1288</v>
      </c>
      <c r="B19" s="1762" t="s">
        <v>1289</v>
      </c>
      <c r="C19" s="134">
        <f ca="1">SUMIF(INDIRECT("'"&amp;C4&amp;"'"&amp;"!A:A"),'结果表-办公'!B19,INDIRECT("'"&amp;C4&amp;"'"&amp;"!B:B"))</f>
        <v>6076.3082999999997</v>
      </c>
      <c r="D19" s="135">
        <f ca="1">SUMIF(INDIRECT("'"&amp;D4&amp;"'"&amp;"!A:A"),'结果表-办公'!B19,INDIRECT("'"&amp;D4&amp;"'"&amp;"!B:B"))</f>
        <v>2889.9256</v>
      </c>
      <c r="E19" s="1761" t="s">
        <v>1290</v>
      </c>
      <c r="F19" s="1762" t="s">
        <v>1289</v>
      </c>
      <c r="G19" s="136">
        <f ca="1">ROUND(C19*$C$18+D19*$D$18,0)</f>
        <v>4164</v>
      </c>
      <c r="H19" s="1763"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4"/>
      <c r="B20" s="1026" t="s">
        <v>1293</v>
      </c>
      <c r="C20" s="137">
        <f ca="1">SUMIF(INDIRECT("'"&amp;C4&amp;"'"&amp;"!A:A"),'结果表-办公'!B20,INDIRECT("'"&amp;C4&amp;"'"&amp;"!B:B"))</f>
        <v>90303</v>
      </c>
      <c r="D20" s="138">
        <f ca="1">SUMIF(INDIRECT("'"&amp;D4&amp;"'"&amp;"!A:A"),'结果表-办公'!B20,INDIRECT("'"&amp;D4&amp;"'"&amp;"!B:B"))</f>
        <v>42949</v>
      </c>
      <c r="E20" s="1764"/>
      <c r="F20" s="1026" t="s">
        <v>1293</v>
      </c>
      <c r="G20" s="139">
        <f ca="1">ROUND(C20*$C$18+D20*$D$18,0)</f>
        <v>61891</v>
      </c>
      <c r="H20" s="808" t="s">
        <v>1294</v>
      </c>
      <c r="I20" s="129"/>
    </row>
    <row r="21" spans="1:36" ht="15" customHeight="1" thickBot="1">
      <c r="A21" s="828"/>
      <c r="B21" s="1765" t="s">
        <v>1295</v>
      </c>
      <c r="C21" s="719" t="e">
        <f ca="1">ROUND(C19*10000/L19,0)</f>
        <v>#DIV/0!</v>
      </c>
      <c r="D21" s="720" t="e">
        <f ca="1">ROUND(D19*10000/L19,0)</f>
        <v>#DIV/0!</v>
      </c>
      <c r="E21" s="828"/>
      <c r="F21" s="1765" t="s">
        <v>1295</v>
      </c>
      <c r="G21" s="140" t="e">
        <f ca="1">ROUND(G19*10000/L19,0)</f>
        <v>#DIV/0!</v>
      </c>
      <c r="H21" s="1766" t="s">
        <v>1294</v>
      </c>
      <c r="I21" s="129"/>
    </row>
    <row r="22" spans="1:36" ht="15" thickBot="1">
      <c r="A22" s="1688" t="s">
        <v>1296</v>
      </c>
      <c r="B22" s="1767"/>
      <c r="C22" s="1768"/>
      <c r="D22" s="721">
        <f ca="1">IF(C19&lt;D19,D19/C19-1,C19/D19-1)</f>
        <v>1.1025829523085298</v>
      </c>
      <c r="E22" s="129"/>
      <c r="F22" s="129"/>
      <c r="G22" s="129"/>
      <c r="H22" s="129"/>
      <c r="I22" s="129"/>
    </row>
    <row r="23" spans="1:36" ht="13.5" thickBot="1">
      <c r="A23" s="1747"/>
      <c r="B23" s="1747"/>
      <c r="C23" s="1747"/>
      <c r="D23" s="1747"/>
      <c r="E23" s="129"/>
      <c r="F23" s="129"/>
      <c r="G23" s="129"/>
      <c r="H23" s="129"/>
      <c r="I23" s="129"/>
    </row>
    <row r="24" spans="1:36" ht="14.25">
      <c r="A24" s="3582" t="s">
        <v>1297</v>
      </c>
      <c r="B24" s="1762" t="s">
        <v>1289</v>
      </c>
      <c r="C24" s="136">
        <f>IF(B30=0,0,D30)</f>
        <v>0</v>
      </c>
      <c r="D24" s="1769"/>
      <c r="E24" s="129"/>
      <c r="F24" s="129" t="s">
        <v>3399</v>
      </c>
      <c r="G24" s="129"/>
      <c r="H24" s="129"/>
      <c r="I24" s="129"/>
    </row>
    <row r="25" spans="1:36" ht="14.25">
      <c r="A25" s="3583"/>
      <c r="B25" s="1026" t="s">
        <v>1293</v>
      </c>
      <c r="C25" s="141">
        <f>IF(B30=0,0,C30)</f>
        <v>0</v>
      </c>
      <c r="D25" s="1770"/>
      <c r="E25" s="129"/>
      <c r="F25" s="3473" t="s">
        <v>3400</v>
      </c>
      <c r="G25" s="129"/>
      <c r="H25" s="129"/>
      <c r="I25" s="129"/>
    </row>
    <row r="26" spans="1:36" ht="13.5" customHeight="1">
      <c r="A26" s="1771" t="s">
        <v>1298</v>
      </c>
      <c r="B26" s="142" t="s">
        <v>1299</v>
      </c>
      <c r="C26" s="142" t="s">
        <v>1300</v>
      </c>
      <c r="D26" s="143" t="s">
        <v>1301</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1302</v>
      </c>
      <c r="B30" s="142"/>
      <c r="C30" s="142"/>
      <c r="D30" s="142"/>
      <c r="E30" s="2303" t="s">
        <v>2130</v>
      </c>
      <c r="F30" s="129"/>
      <c r="G30" s="129"/>
      <c r="H30" s="129"/>
      <c r="I30" s="129"/>
    </row>
    <row r="31" spans="1:36" s="2309" customFormat="1" ht="26.45" customHeight="1" thickTop="1" thickBot="1">
      <c r="A31" s="2304"/>
      <c r="B31" s="2305"/>
      <c r="C31" s="2305"/>
      <c r="D31" s="2305"/>
      <c r="E31" s="2305"/>
      <c r="F31" s="2305"/>
      <c r="G31" s="2305"/>
      <c r="H31" s="2305"/>
      <c r="I31" s="2306" t="s">
        <v>2131</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1303</v>
      </c>
      <c r="B32" s="1774"/>
      <c r="C32" s="144">
        <f ca="1">IF(D32="总价",G19-C24,G20-C25)</f>
        <v>61891</v>
      </c>
      <c r="D32" s="1775"/>
      <c r="E32" s="129"/>
      <c r="F32" s="129"/>
      <c r="G32" s="129"/>
      <c r="H32" s="129"/>
      <c r="I32" s="129"/>
    </row>
    <row r="33" spans="1:15" ht="15">
      <c r="A33" s="786" t="s">
        <v>1304</v>
      </c>
      <c r="B33" s="1776"/>
      <c r="C33" s="1777"/>
      <c r="D33" s="1778"/>
      <c r="E33" s="1779" t="s">
        <v>1305</v>
      </c>
      <c r="F33" s="1780" t="str">
        <f>IF(D32="楼面单价","取值（单价）","取值（总价）")</f>
        <v>取值（总价）</v>
      </c>
      <c r="G33" s="129"/>
      <c r="H33" s="129"/>
      <c r="I33" s="129"/>
    </row>
    <row r="34" spans="1:15" ht="15">
      <c r="A34" s="1781"/>
      <c r="B34" s="1782" t="s">
        <v>1306</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1307</v>
      </c>
      <c r="F34" s="1330"/>
      <c r="G34" s="129"/>
      <c r="H34" s="129"/>
      <c r="I34" s="129"/>
    </row>
    <row r="35" spans="1:15" ht="15.75" thickBot="1">
      <c r="A35" s="1784"/>
      <c r="B35" s="1785" t="s">
        <v>1308</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1309</v>
      </c>
      <c r="F35" s="154"/>
      <c r="G35" s="129"/>
      <c r="H35" s="129"/>
      <c r="I35" s="129"/>
    </row>
    <row r="36" spans="1:15" ht="15.75" thickBot="1">
      <c r="A36" s="3602" t="s">
        <v>1310</v>
      </c>
      <c r="B36" s="1787" t="s">
        <v>1311</v>
      </c>
      <c r="C36" s="145"/>
      <c r="D36" s="1788"/>
      <c r="E36" s="1789"/>
      <c r="F36" s="1790"/>
      <c r="G36" s="129"/>
      <c r="H36" s="129"/>
      <c r="I36" s="129"/>
    </row>
    <row r="37" spans="1:15" ht="15.75" thickBot="1">
      <c r="A37" s="3603"/>
      <c r="B37" s="1674" t="s">
        <v>1312</v>
      </c>
      <c r="C37" s="147"/>
      <c r="D37" s="1139"/>
      <c r="E37" s="1139"/>
      <c r="F37" s="1790"/>
      <c r="G37" s="129"/>
      <c r="H37" s="129"/>
      <c r="I37" s="129"/>
    </row>
    <row r="38" spans="1:15" ht="15.75" thickBot="1">
      <c r="A38" s="3604"/>
      <c r="B38" s="1791" t="s">
        <v>1313</v>
      </c>
      <c r="C38" s="674"/>
      <c r="D38" s="1792" t="s">
        <v>1314</v>
      </c>
      <c r="E38" s="1139"/>
      <c r="F38" s="1790"/>
      <c r="G38" s="129"/>
      <c r="H38" s="129"/>
      <c r="I38" s="129"/>
    </row>
    <row r="39" spans="1:15" ht="15">
      <c r="A39" s="1764" t="s">
        <v>1315</v>
      </c>
      <c r="B39" s="1793" t="s">
        <v>1299</v>
      </c>
      <c r="C39" s="1794" t="s">
        <v>1300</v>
      </c>
      <c r="D39" s="1794" t="s">
        <v>1318</v>
      </c>
      <c r="E39" s="1795" t="s">
        <v>1301</v>
      </c>
      <c r="F39" s="1790"/>
      <c r="G39" s="129"/>
      <c r="H39" s="129"/>
      <c r="I39" s="129"/>
    </row>
    <row r="40" spans="1:15" ht="14.25">
      <c r="A40" s="1796" t="s">
        <v>1320</v>
      </c>
      <c r="B40" s="149"/>
      <c r="C40" s="150"/>
      <c r="D40" s="150"/>
      <c r="E40" s="151"/>
      <c r="F40" s="1790"/>
      <c r="G40" s="129"/>
      <c r="H40" s="129"/>
      <c r="I40" s="129"/>
    </row>
    <row r="41" spans="1:15" ht="14.25">
      <c r="A41" s="1796" t="s">
        <v>1321</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1322</v>
      </c>
      <c r="B44" s="1801"/>
      <c r="C44" s="1801"/>
      <c r="D44" s="1802"/>
      <c r="E44" s="1802"/>
      <c r="F44" s="1803"/>
      <c r="G44" s="1803"/>
      <c r="H44" s="1803"/>
      <c r="I44" s="1803"/>
      <c r="J44" s="1804" t="s">
        <v>1323</v>
      </c>
      <c r="K44" s="1805"/>
      <c r="L44" s="1805"/>
      <c r="M44" s="1805"/>
      <c r="N44" s="1805"/>
      <c r="O44" s="1805"/>
    </row>
    <row r="45" spans="1:15" ht="14.25" customHeight="1" thickBot="1">
      <c r="A45" s="3579" t="s">
        <v>1324</v>
      </c>
      <c r="B45" s="3580"/>
      <c r="C45" s="3581"/>
      <c r="D45" s="155" t="e">
        <f ca="1">ROUND(H101*F45,0)</f>
        <v>#REF!</v>
      </c>
      <c r="E45" s="156" t="s">
        <v>1325</v>
      </c>
      <c r="F45" s="157">
        <v>1</v>
      </c>
      <c r="G45" s="158" t="s">
        <v>1326</v>
      </c>
      <c r="H45" s="129"/>
      <c r="I45" s="129"/>
      <c r="J45" s="3657" t="s">
        <v>1327</v>
      </c>
      <c r="K45" s="3657"/>
      <c r="L45" s="3657"/>
      <c r="M45" s="3657"/>
      <c r="N45" s="3657"/>
      <c r="O45" s="3657"/>
    </row>
    <row r="46" spans="1:15" ht="14.25" customHeight="1">
      <c r="A46" s="3576" t="s">
        <v>1328</v>
      </c>
      <c r="B46" s="3577"/>
      <c r="C46" s="3577"/>
      <c r="D46" s="3577"/>
      <c r="E46" s="3577"/>
      <c r="F46" s="3577"/>
      <c r="G46" s="3578"/>
      <c r="H46" s="1806"/>
      <c r="I46" s="159"/>
      <c r="J46" s="3466">
        <v>1</v>
      </c>
      <c r="K46" s="3638" t="s">
        <v>1329</v>
      </c>
      <c r="L46" s="3638"/>
      <c r="M46" s="3658"/>
      <c r="N46" s="3658"/>
      <c r="O46" s="3658"/>
    </row>
    <row r="47" spans="1:15" ht="12" customHeight="1">
      <c r="A47" s="160" t="s">
        <v>1330</v>
      </c>
      <c r="B47" s="161"/>
      <c r="C47" s="162"/>
      <c r="D47" s="1087" t="s">
        <v>1331</v>
      </c>
      <c r="E47" s="302" t="s">
        <v>1332</v>
      </c>
      <c r="F47" s="163" t="s">
        <v>1333</v>
      </c>
      <c r="G47" s="2546" t="s">
        <v>1334</v>
      </c>
      <c r="H47" s="2547"/>
      <c r="I47" s="159"/>
      <c r="J47" s="3466">
        <v>2</v>
      </c>
      <c r="K47" s="3638" t="s">
        <v>1335</v>
      </c>
      <c r="L47" s="3638"/>
      <c r="M47" s="3659">
        <f>'数据-取费表'!B2</f>
        <v>45485</v>
      </c>
      <c r="N47" s="3659"/>
      <c r="O47" s="3659"/>
    </row>
    <row r="48" spans="1:15" ht="25.5">
      <c r="A48" s="3607" t="s">
        <v>1336</v>
      </c>
      <c r="B48" s="3590"/>
      <c r="C48" s="3590"/>
      <c r="D48" s="3468" t="b">
        <f>IF(H48="情况1",0,IF(H48="情况2",D52,IF(H48="情况3",D53,IF(H48="情况4",D54))))</f>
        <v>0</v>
      </c>
      <c r="E48" s="3457" t="str">
        <f>IF(H48="情况4","(销售额-原购置价)×税（费）率","销售额×税（费）率")</f>
        <v>销售额×税（费）率</v>
      </c>
      <c r="F48" s="2548">
        <f>IF(H48="情况1","免征",'数据-取费表'!B41)</f>
        <v>5.6000000000000001E-2</v>
      </c>
      <c r="G48" s="2549" t="s">
        <v>1337</v>
      </c>
      <c r="H48" s="2550"/>
      <c r="I48" s="1806"/>
      <c r="J48" s="3466">
        <v>3</v>
      </c>
      <c r="K48" s="3638" t="s">
        <v>1338</v>
      </c>
      <c r="L48" s="3638"/>
      <c r="M48" s="3660" t="e">
        <f ca="1">H101</f>
        <v>#REF!</v>
      </c>
      <c r="N48" s="3660"/>
      <c r="O48" s="3660"/>
    </row>
    <row r="49" spans="1:35" ht="25.5" customHeight="1">
      <c r="A49" s="3461" t="s">
        <v>1339</v>
      </c>
      <c r="B49" s="3574" t="s">
        <v>1340</v>
      </c>
      <c r="C49" s="3574"/>
      <c r="D49" s="1590">
        <v>0</v>
      </c>
      <c r="E49" s="324" t="s">
        <v>1341</v>
      </c>
      <c r="F49" s="3451" t="s">
        <v>28</v>
      </c>
      <c r="G49" s="3644"/>
      <c r="H49" s="2310" t="s">
        <v>2132</v>
      </c>
      <c r="I49" s="2311"/>
      <c r="J49" s="3466">
        <v>4</v>
      </c>
      <c r="K49" s="3638" t="str">
        <f>IF(项目基本情况!E8="房地产抵押价值","房地产抵押价值","抵押担保权已注销时的房地产抵押价值")</f>
        <v>抵押担保权已注销时的房地产抵押价值</v>
      </c>
      <c r="L49" s="3638"/>
      <c r="M49" s="3660" t="str">
        <f>IF(项目基本情况!E8="房地产抵押价值",H107,H109)</f>
        <v>——</v>
      </c>
      <c r="N49" s="3660"/>
      <c r="O49" s="3660"/>
    </row>
    <row r="50" spans="1:35" ht="25.5" customHeight="1">
      <c r="A50" s="2551"/>
      <c r="B50" s="3574" t="s">
        <v>1342</v>
      </c>
      <c r="C50" s="3574"/>
      <c r="D50" s="2552"/>
      <c r="E50" s="332"/>
      <c r="F50" s="3451"/>
      <c r="G50" s="3645"/>
      <c r="H50" s="2312" t="s">
        <v>2133</v>
      </c>
      <c r="I50" s="2311"/>
      <c r="J50" s="3657" t="s">
        <v>1343</v>
      </c>
      <c r="K50" s="3657"/>
      <c r="L50" s="3657"/>
      <c r="M50" s="3657"/>
      <c r="N50" s="3657"/>
      <c r="O50" s="3657"/>
    </row>
    <row r="51" spans="1:35" ht="20.45" customHeight="1">
      <c r="A51" s="2553"/>
      <c r="B51" s="3574" t="s">
        <v>1344</v>
      </c>
      <c r="C51" s="3574"/>
      <c r="D51" s="1087"/>
      <c r="E51" s="327"/>
      <c r="F51" s="3451"/>
      <c r="G51" s="3646"/>
      <c r="H51" s="2312" t="s">
        <v>2134</v>
      </c>
      <c r="I51" s="2311"/>
      <c r="J51" s="3465" t="s">
        <v>1345</v>
      </c>
      <c r="K51" s="3638" t="s">
        <v>1346</v>
      </c>
      <c r="L51" s="3638"/>
      <c r="M51" s="3465" t="s">
        <v>1347</v>
      </c>
      <c r="N51" s="3465" t="s">
        <v>1348</v>
      </c>
      <c r="O51" s="3465" t="s">
        <v>1349</v>
      </c>
    </row>
    <row r="52" spans="1:35" ht="24" customHeight="1">
      <c r="A52" s="3456" t="s">
        <v>1350</v>
      </c>
      <c r="B52" s="3574" t="s">
        <v>1351</v>
      </c>
      <c r="C52" s="3574"/>
      <c r="D52" s="1087" t="e">
        <f ca="1">ROUND(D45*'数据-取费表'!B41/(1+'数据-取费表'!C42),0)</f>
        <v>#REF!</v>
      </c>
      <c r="E52" s="3457" t="s">
        <v>1352</v>
      </c>
      <c r="F52" s="2554">
        <f>'数据-取费表'!B41</f>
        <v>5.6000000000000001E-2</v>
      </c>
      <c r="G52" s="2555"/>
      <c r="H52" s="2544"/>
      <c r="I52" s="1807"/>
      <c r="J52" s="3466">
        <v>1</v>
      </c>
      <c r="K52" s="3639" t="s">
        <v>1353</v>
      </c>
      <c r="L52" s="3639"/>
      <c r="M52" s="2525" t="b">
        <f>D48</f>
        <v>0</v>
      </c>
      <c r="N52" s="3466" t="str">
        <f>E48</f>
        <v>销售额×税（费）率</v>
      </c>
      <c r="O52" s="2526">
        <f>F48</f>
        <v>5.6000000000000001E-2</v>
      </c>
    </row>
    <row r="53" spans="1:35" ht="12" customHeight="1">
      <c r="A53" s="3456" t="s">
        <v>1354</v>
      </c>
      <c r="B53" s="3600" t="s">
        <v>2280</v>
      </c>
      <c r="C53" s="3601"/>
      <c r="D53" s="1087" t="e">
        <f ca="1">ROUND(D45*'数据-取费表'!B41/(1+'数据-取费表'!C42),0)</f>
        <v>#REF!</v>
      </c>
      <c r="E53" s="3457" t="s">
        <v>1352</v>
      </c>
      <c r="F53" s="2554">
        <f>'数据-取费表'!B41</f>
        <v>5.6000000000000001E-2</v>
      </c>
      <c r="G53" s="2555"/>
      <c r="H53" s="2544"/>
      <c r="I53" s="1807"/>
      <c r="J53" s="3466">
        <v>2</v>
      </c>
      <c r="K53" s="3639" t="s">
        <v>1355</v>
      </c>
      <c r="L53" s="3639"/>
      <c r="M53" s="2525" t="e">
        <f t="shared" ref="M53:O54" ca="1" si="0">D55</f>
        <v>#REF!</v>
      </c>
      <c r="N53" s="3466" t="str">
        <f t="shared" si="0"/>
        <v>销售额×税（费）率</v>
      </c>
      <c r="O53" s="2526" t="str">
        <f t="shared" si="0"/>
        <v>免征</v>
      </c>
    </row>
    <row r="54" spans="1:35" ht="12" customHeight="1">
      <c r="A54" s="3456" t="s">
        <v>1356</v>
      </c>
      <c r="B54" s="3600" t="s">
        <v>2281</v>
      </c>
      <c r="C54" s="3601"/>
      <c r="D54" s="1087" t="e">
        <f ca="1">C68</f>
        <v>#REF!</v>
      </c>
      <c r="E54" s="327" t="s">
        <v>1357</v>
      </c>
      <c r="F54" s="2554">
        <f>'数据-取费表'!B41</f>
        <v>5.6000000000000001E-2</v>
      </c>
      <c r="G54" s="2555"/>
      <c r="H54" s="2556"/>
      <c r="I54" s="1807"/>
      <c r="J54" s="3466">
        <v>3</v>
      </c>
      <c r="K54" s="3639" t="s">
        <v>1358</v>
      </c>
      <c r="L54" s="3639"/>
      <c r="M54" s="2525" t="e">
        <f t="shared" ca="1" si="0"/>
        <v>#REF!</v>
      </c>
      <c r="N54" s="3466" t="str">
        <f t="shared" si="0"/>
        <v>增值额×税（费）率</v>
      </c>
      <c r="O54" s="2527" t="str">
        <f t="shared" si="0"/>
        <v>免征</v>
      </c>
    </row>
    <row r="55" spans="1:35" ht="24" customHeight="1">
      <c r="A55" s="3589" t="s">
        <v>1359</v>
      </c>
      <c r="B55" s="3590"/>
      <c r="C55" s="3590"/>
      <c r="D55" s="3468" t="e">
        <f ca="1">IF(H55="个人住宅",0,ROUND(D45*I55,0))</f>
        <v>#REF!</v>
      </c>
      <c r="E55" s="3457" t="s">
        <v>1360</v>
      </c>
      <c r="F55" s="2554" t="str">
        <f>IF(H55="正常",I55,"免征")</f>
        <v>免征</v>
      </c>
      <c r="G55" s="2555"/>
      <c r="H55" s="2550"/>
      <c r="I55" s="165">
        <f>'数据-取费表'!B49</f>
        <v>5.0000000000000001E-4</v>
      </c>
      <c r="J55" s="3466">
        <f>IF(H59="非个人房产","",4)</f>
        <v>4</v>
      </c>
      <c r="K55" s="3639" t="str">
        <f>IF(H59="非个人房产","——","个人所得税")</f>
        <v>个人所得税</v>
      </c>
      <c r="L55" s="3639"/>
      <c r="M55" s="2528" t="e">
        <f ca="1">D59</f>
        <v>#REF!</v>
      </c>
      <c r="N55" s="3467" t="str">
        <f>E59</f>
        <v>差额计税</v>
      </c>
      <c r="O55" s="2529">
        <f>F59</f>
        <v>0.01</v>
      </c>
    </row>
    <row r="56" spans="1:35" ht="24.75">
      <c r="A56" s="3589" t="s">
        <v>1361</v>
      </c>
      <c r="B56" s="3590"/>
      <c r="C56" s="3590"/>
      <c r="D56" s="3468" t="e">
        <f ca="1">IF(H56="个人住宅",D57,D58)</f>
        <v>#REF!</v>
      </c>
      <c r="E56" s="3457" t="s">
        <v>1362</v>
      </c>
      <c r="F56" s="2554" t="str">
        <f>IF(H56="正常",F58,"免征")</f>
        <v>免征</v>
      </c>
      <c r="G56" s="2557" t="s">
        <v>1363</v>
      </c>
      <c r="H56" s="2558"/>
      <c r="I56" s="1808"/>
      <c r="J56" s="3466" t="str">
        <f>IF(项目基本情况!K6="上海银行",IF(J55="",4,J55+1),"")</f>
        <v/>
      </c>
      <c r="K56" s="3662" t="str">
        <f>IF(项目基本情况!K6="上海银行","其他处置费用","")</f>
        <v/>
      </c>
      <c r="L56" s="3663"/>
      <c r="M56" s="2525" t="str">
        <f>IF(项目基本情况!K6="上海银行",M69,"")</f>
        <v/>
      </c>
      <c r="N56" s="3662" t="str">
        <f>IF(项目基本情况!K6="上海银行","包含处置中涉及的律师、诉讼、拍卖、评估等费用","")</f>
        <v/>
      </c>
      <c r="O56" s="3665"/>
    </row>
    <row r="57" spans="1:35" ht="12.75">
      <c r="A57" s="3456" t="s">
        <v>1339</v>
      </c>
      <c r="B57" s="3600" t="s">
        <v>1364</v>
      </c>
      <c r="C57" s="3601"/>
      <c r="D57" s="1590">
        <v>0</v>
      </c>
      <c r="E57" s="324" t="s">
        <v>1341</v>
      </c>
      <c r="F57" s="302"/>
      <c r="G57" s="2555"/>
      <c r="H57" s="2559"/>
      <c r="I57" s="1808"/>
      <c r="J57" s="3639">
        <f>IF(AND(J55="",J56=""),4,IF(项目基本情况!K6="上海银行",'结果表-办公'!J56+1,'结果表-办公'!J55+1))</f>
        <v>5</v>
      </c>
      <c r="K57" s="3639" t="s">
        <v>1365</v>
      </c>
      <c r="L57" s="2530" t="s">
        <v>1366</v>
      </c>
      <c r="M57" s="2531"/>
      <c r="N57" s="2532">
        <f ca="1">SUMIF(M52:M56,"&lt;9e307")</f>
        <v>0</v>
      </c>
      <c r="O57" s="2533"/>
      <c r="P57" s="2690" t="e">
        <f ca="1">N57/M49</f>
        <v>#VALUE!</v>
      </c>
    </row>
    <row r="58" spans="1:35" ht="24.75">
      <c r="A58" s="3456" t="s">
        <v>1350</v>
      </c>
      <c r="B58" s="3600" t="s">
        <v>1367</v>
      </c>
      <c r="C58" s="3574"/>
      <c r="D58" s="3468" t="e">
        <f ca="1">IF(H58="转让取得",C81,C97)</f>
        <v>#REF!</v>
      </c>
      <c r="E58" s="3457" t="s">
        <v>1362</v>
      </c>
      <c r="F58" s="302" t="s">
        <v>28</v>
      </c>
      <c r="G58" s="2555"/>
      <c r="H58" s="2558"/>
      <c r="I58" s="1808"/>
      <c r="J58" s="3639"/>
      <c r="K58" s="3639"/>
      <c r="L58" s="2530" t="s">
        <v>1368</v>
      </c>
      <c r="M58" s="2534"/>
      <c r="N58" s="2535" t="str">
        <f ca="1">NUMBERSTRING(INT(N57*10000),2)&amp;"元整"</f>
        <v>零元整</v>
      </c>
      <c r="O58" s="2536"/>
    </row>
    <row r="59" spans="1:35" ht="24.75" thickBot="1">
      <c r="A59" s="3642" t="s">
        <v>1369</v>
      </c>
      <c r="B59" s="3643"/>
      <c r="C59" s="3643"/>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1363</v>
      </c>
      <c r="H59" s="2314"/>
      <c r="I59" s="2313" t="s">
        <v>2135</v>
      </c>
      <c r="J59" s="3640">
        <f>J57+1</f>
        <v>6</v>
      </c>
      <c r="K59" s="3639" t="s">
        <v>1370</v>
      </c>
      <c r="L59" s="3466" t="s">
        <v>1366</v>
      </c>
      <c r="M59" s="2537"/>
      <c r="N59" s="2538" t="e">
        <f ca="1">M49-N57</f>
        <v>#VALUE!</v>
      </c>
      <c r="O59" s="2539"/>
    </row>
    <row r="60" spans="1:35" ht="12" customHeight="1">
      <c r="A60" s="1809"/>
      <c r="B60" s="1747"/>
      <c r="C60" s="1747"/>
      <c r="D60" s="1747"/>
      <c r="E60" s="1578"/>
      <c r="F60" s="1808"/>
      <c r="G60" s="1808"/>
      <c r="H60" s="1810"/>
      <c r="I60" s="129"/>
      <c r="J60" s="3641"/>
      <c r="K60" s="3639"/>
      <c r="L60" s="2530" t="s">
        <v>1368</v>
      </c>
      <c r="M60" s="2534"/>
      <c r="N60" s="2535" t="e">
        <f ca="1">NUMBERSTRING(INT(N59*10000),2)&amp;"元整"</f>
        <v>#VALUE!</v>
      </c>
      <c r="O60" s="2536"/>
    </row>
    <row r="61" spans="1:35" ht="13.5" thickBot="1">
      <c r="A61" s="3587" t="s">
        <v>1371</v>
      </c>
      <c r="B61" s="3587"/>
      <c r="C61" s="3587"/>
      <c r="D61" s="3587"/>
      <c r="E61" s="3587"/>
      <c r="F61" s="1808"/>
      <c r="G61" s="1808"/>
      <c r="H61" s="1810"/>
      <c r="I61" s="129"/>
      <c r="J61" s="3466">
        <f>J59+1</f>
        <v>7</v>
      </c>
      <c r="K61" s="3639" t="s">
        <v>1372</v>
      </c>
      <c r="L61" s="3639"/>
      <c r="M61" s="2540"/>
      <c r="N61" s="2541" t="e">
        <f ca="1">ROUND(N59*10000/'数据-汇总表'!E3,0)</f>
        <v>#VALUE!</v>
      </c>
      <c r="O61" s="2542"/>
    </row>
    <row r="62" spans="1:35" ht="12.75">
      <c r="A62" s="3605" t="s">
        <v>1373</v>
      </c>
      <c r="B62" s="3606"/>
      <c r="C62" s="3460"/>
      <c r="D62" s="3460" t="s">
        <v>1374</v>
      </c>
      <c r="E62" s="166" t="s">
        <v>1375</v>
      </c>
      <c r="F62" s="1808"/>
      <c r="G62" s="1808"/>
      <c r="H62" s="1810"/>
      <c r="I62" s="129"/>
    </row>
    <row r="63" spans="1:35" ht="12.75">
      <c r="A63" s="173" t="s">
        <v>330</v>
      </c>
      <c r="B63" s="167" t="s">
        <v>1376</v>
      </c>
      <c r="C63" s="2564" t="e">
        <f ca="1">ROUND((C64+C65)/(1+'数据-取费表'!C42),0)</f>
        <v>#REF!</v>
      </c>
      <c r="D63" s="167"/>
      <c r="E63" s="168"/>
      <c r="F63" s="1808"/>
      <c r="G63" s="1808"/>
      <c r="H63" s="1810"/>
      <c r="I63" s="129"/>
      <c r="J63" s="3664" t="s">
        <v>1377</v>
      </c>
      <c r="K63" s="3469" t="s">
        <v>1378</v>
      </c>
      <c r="L63" s="3469" t="e">
        <f>IF(M49&gt;10000,M49*0.5%,IF(AND(M49&gt;1000,M49&lt;=10000),M49*1%,IF(AND(M49&gt;100,M49&lt;=1000),M49*3%,IF(AND(M49&gt;10,M49&lt;=100),M49*5%,M49*8%))))</f>
        <v>#VALUE!</v>
      </c>
      <c r="M63" s="302" t="e">
        <f>ROUND(L63,1)</f>
        <v>#VALUE!</v>
      </c>
      <c r="N63" s="2543"/>
      <c r="Z63" s="1752"/>
      <c r="AI63" s="1753"/>
    </row>
    <row r="64" spans="1:35" ht="14.25" customHeight="1">
      <c r="A64" s="169" t="s">
        <v>325</v>
      </c>
      <c r="B64" s="170" t="s">
        <v>1379</v>
      </c>
      <c r="C64" s="2565" t="e">
        <f ca="1">D45</f>
        <v>#REF!</v>
      </c>
      <c r="D64" s="170" t="s">
        <v>26</v>
      </c>
      <c r="E64" s="172"/>
      <c r="F64" s="1808"/>
      <c r="G64" s="1808"/>
      <c r="H64" s="1810"/>
      <c r="I64" s="129"/>
      <c r="J64" s="3664"/>
      <c r="K64" s="3469" t="s">
        <v>1380</v>
      </c>
      <c r="L64" s="3469"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1381</v>
      </c>
      <c r="Z64" s="1752"/>
      <c r="AI64" s="1753"/>
    </row>
    <row r="65" spans="1:35" ht="14.25" customHeight="1">
      <c r="A65" s="169" t="s">
        <v>326</v>
      </c>
      <c r="B65" s="170" t="s">
        <v>1382</v>
      </c>
      <c r="C65" s="2566"/>
      <c r="D65" s="170"/>
      <c r="E65" s="172"/>
      <c r="F65" s="1808"/>
      <c r="G65" s="1808"/>
      <c r="H65" s="1810"/>
      <c r="I65" s="129"/>
      <c r="J65" s="3664"/>
      <c r="K65" s="3469" t="s">
        <v>1383</v>
      </c>
      <c r="L65" s="3469" t="e">
        <f>IF(M49&gt;1000,M49*0.1%,IF(AND(M49&gt;500,M49&lt;=1000),M49*0.5%,IF(AND(M49&gt;50,M49&lt;=500),M49*1%,IF(AND(M49&gt;1,M49&lt;=50),M49*1.5%))))</f>
        <v>#VALUE!</v>
      </c>
      <c r="M65" s="302" t="e">
        <f t="shared" si="1"/>
        <v>#VALUE!</v>
      </c>
      <c r="N65" s="2544" t="s">
        <v>1381</v>
      </c>
      <c r="Z65" s="1752"/>
      <c r="AI65" s="1753"/>
    </row>
    <row r="66" spans="1:35" ht="14.25" customHeight="1">
      <c r="A66" s="173" t="s">
        <v>327</v>
      </c>
      <c r="B66" s="174" t="s">
        <v>1384</v>
      </c>
      <c r="C66" s="2567"/>
      <c r="D66" s="174" t="s">
        <v>26</v>
      </c>
      <c r="E66" s="1338" t="s">
        <v>669</v>
      </c>
      <c r="F66" s="1808"/>
      <c r="G66" s="1808"/>
      <c r="H66" s="1810"/>
      <c r="I66" s="129"/>
      <c r="J66" s="3664"/>
      <c r="K66" s="3469" t="s">
        <v>1385</v>
      </c>
      <c r="L66" s="3469" t="e">
        <f>M49*0.5%</f>
        <v>#VALUE!</v>
      </c>
      <c r="M66" s="302" t="e">
        <f>IF(L66&gt;0.5,0.5,ROUND(L66,0))</f>
        <v>#VALUE!</v>
      </c>
      <c r="N66" s="2544" t="s">
        <v>1386</v>
      </c>
      <c r="Z66" s="1752"/>
      <c r="AI66" s="1753"/>
    </row>
    <row r="67" spans="1:35" ht="14.25" customHeight="1">
      <c r="A67" s="173" t="s">
        <v>328</v>
      </c>
      <c r="B67" s="174" t="s">
        <v>1387</v>
      </c>
      <c r="C67" s="2568" t="e">
        <f ca="1">C63-C66</f>
        <v>#REF!</v>
      </c>
      <c r="D67" s="170" t="s">
        <v>26</v>
      </c>
      <c r="E67" s="172"/>
      <c r="F67" s="1808"/>
      <c r="G67" s="1808"/>
      <c r="H67" s="1810"/>
      <c r="I67" s="129"/>
      <c r="J67" s="3664"/>
      <c r="K67" s="3469" t="s">
        <v>1388</v>
      </c>
      <c r="L67" s="3469"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1389</v>
      </c>
      <c r="C68" s="2569" t="e">
        <f ca="1">IF(C67&lt;=0,0,ROUND(C67*D68,0))</f>
        <v>#REF!</v>
      </c>
      <c r="D68" s="2570">
        <f>'数据-取费表'!B41</f>
        <v>5.6000000000000001E-2</v>
      </c>
      <c r="E68" s="178"/>
      <c r="F68" s="1808"/>
      <c r="G68" s="1808"/>
      <c r="H68" s="1810"/>
      <c r="I68" s="129"/>
      <c r="J68" s="3664"/>
      <c r="K68" s="3469" t="s">
        <v>1390</v>
      </c>
      <c r="L68" s="3469"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4"/>
      <c r="K69" s="3469" t="s">
        <v>1391</v>
      </c>
      <c r="L69" s="3469"/>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6" t="s">
        <v>1392</v>
      </c>
      <c r="B70" s="3627"/>
      <c r="C70" s="3627"/>
      <c r="D70" s="3627"/>
      <c r="E70" s="3627"/>
      <c r="F70" s="3627"/>
      <c r="G70" s="3627"/>
      <c r="H70" s="362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5" t="s">
        <v>1373</v>
      </c>
      <c r="B71" s="3606"/>
      <c r="C71" s="3460"/>
      <c r="D71" s="3460" t="s">
        <v>1374</v>
      </c>
      <c r="E71" s="179" t="s">
        <v>1375</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1393</v>
      </c>
      <c r="C72" s="2568" t="e">
        <f ca="1">ROUND(D45/(1+'数据-取费表'!C42),0)</f>
        <v>#REF!</v>
      </c>
      <c r="D72" s="170" t="s">
        <v>26</v>
      </c>
      <c r="E72" s="3459"/>
      <c r="F72" s="3452"/>
      <c r="G72" s="3452"/>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1394</v>
      </c>
      <c r="C73" s="2568" t="e">
        <f ca="1">C74+C78</f>
        <v>#REF!</v>
      </c>
      <c r="D73" s="170" t="s">
        <v>26</v>
      </c>
      <c r="E73" s="3459"/>
      <c r="F73" s="3452"/>
      <c r="G73" s="3452"/>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1395</v>
      </c>
      <c r="C74" s="170">
        <f>ROUND(IF(G77="2016年5月1日后购买",C75/(1+'数据-取费表'!C42)+C76+C77,C75+C76+C77),0)</f>
        <v>0</v>
      </c>
      <c r="D74" s="170" t="s">
        <v>26</v>
      </c>
      <c r="E74" s="3459"/>
      <c r="F74" s="3452"/>
      <c r="G74" s="3452"/>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1396</v>
      </c>
      <c r="C75" s="2571"/>
      <c r="D75" s="170" t="s">
        <v>26</v>
      </c>
      <c r="E75" s="184" t="s">
        <v>1397</v>
      </c>
      <c r="F75" s="2572"/>
      <c r="G75" s="184" t="s">
        <v>1398</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1399</v>
      </c>
      <c r="C76" s="170">
        <f>IF(F75="购房发票",ROUND(C75*H75*D76,0),0)</f>
        <v>0</v>
      </c>
      <c r="D76" s="2574">
        <v>0.05</v>
      </c>
      <c r="E76" s="3600" t="s">
        <v>1400</v>
      </c>
      <c r="F76" s="3574"/>
      <c r="G76" s="3574"/>
      <c r="H76" s="362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1401</v>
      </c>
      <c r="C77" s="170">
        <f>ROUND(IF(G77="个人住宅",0,IF(G77="2016年5月1日前购买",C75*D77,C75*D77/(1+'数据-取费表'!C42))),0)</f>
        <v>0</v>
      </c>
      <c r="D77" s="2575">
        <f>'数据-取费表'!B48+'数据-取费表'!B49</f>
        <v>3.0499999999999999E-2</v>
      </c>
      <c r="E77" s="3468" t="s">
        <v>1402</v>
      </c>
      <c r="F77" s="186"/>
      <c r="G77" s="1822"/>
      <c r="H77" s="3463"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1403</v>
      </c>
      <c r="C78" s="2576" t="e">
        <f ca="1">ROUND(D45*D78/(1+'数据-取费表'!C42),0)</f>
        <v>#REF!</v>
      </c>
      <c r="D78" s="2577">
        <f>'数据-取费表'!B43</f>
        <v>6.000000000000001E-3</v>
      </c>
      <c r="E78" s="3584" t="s">
        <v>1404</v>
      </c>
      <c r="F78" s="3585"/>
      <c r="G78" s="3585"/>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328</v>
      </c>
      <c r="B79" s="174" t="s">
        <v>1405</v>
      </c>
      <c r="C79" s="2568" t="e">
        <f ca="1">C72-C73</f>
        <v>#REF!</v>
      </c>
      <c r="D79" s="170" t="s">
        <v>26</v>
      </c>
      <c r="E79" s="3459"/>
      <c r="F79" s="3452"/>
      <c r="G79" s="3452"/>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1406</v>
      </c>
      <c r="C80" s="2578" t="e">
        <f ca="1">IF(C79&lt;=0,0,C79/C73)</f>
        <v>#REF!</v>
      </c>
      <c r="D80" s="170" t="s">
        <v>26</v>
      </c>
      <c r="E80" s="3468" t="e">
        <f ca="1">IF(C80&gt;=200%,"增值额超过扣除项目金额200%",IF(C80&gt;=100%,"增值额超过扣除项目金额100%，未超过200%",IF(C80&gt;=50%,"增值额超过扣除项目金额50%，未超过100%",IF(C80&lt;50%,"增值额未超过扣除项目金额50%"))))</f>
        <v>#REF!</v>
      </c>
      <c r="F80" s="3452"/>
      <c r="G80" s="3452"/>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1407</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6" t="s">
        <v>1408</v>
      </c>
      <c r="B83" s="3627"/>
      <c r="C83" s="3627"/>
      <c r="D83" s="3627"/>
      <c r="E83" s="3627"/>
      <c r="F83" s="3627"/>
      <c r="G83" s="3627"/>
      <c r="H83" s="362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5" t="s">
        <v>1373</v>
      </c>
      <c r="B84" s="3606"/>
      <c r="C84" s="3460"/>
      <c r="D84" s="3460" t="s">
        <v>1374</v>
      </c>
      <c r="E84" s="179" t="s">
        <v>1375</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1393</v>
      </c>
      <c r="C85" s="2568" t="e">
        <f ca="1">ROUND(D45/(1+'数据-取费表'!C42),0)</f>
        <v>#REF!</v>
      </c>
      <c r="D85" s="170" t="s">
        <v>26</v>
      </c>
      <c r="E85" s="3459"/>
      <c r="F85" s="3452"/>
      <c r="G85" s="3452"/>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1394</v>
      </c>
      <c r="C86" s="2568" t="e">
        <f ca="1">IF(H88="仅含出让金",C87+C90+C91+C92+C93+C94,C87+C91+C92+C93+C94)</f>
        <v>#REF!</v>
      </c>
      <c r="D86" s="2581"/>
      <c r="E86" s="3459"/>
      <c r="F86" s="3452"/>
      <c r="G86" s="3452"/>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1409</v>
      </c>
      <c r="C87" s="2576">
        <f>C88+C89</f>
        <v>0</v>
      </c>
      <c r="D87" s="2577"/>
      <c r="E87" s="3453"/>
      <c r="F87" s="3454"/>
      <c r="G87" s="3454"/>
      <c r="H87" s="345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1410</v>
      </c>
      <c r="C88" s="2582"/>
      <c r="D88" s="2577"/>
      <c r="E88" s="193" t="s">
        <v>1411</v>
      </c>
      <c r="F88" s="3454"/>
      <c r="G88" s="194" t="s">
        <v>1412</v>
      </c>
      <c r="H88" s="1824"/>
      <c r="I88" s="1821"/>
      <c r="J88" s="2521" t="s">
        <v>2277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1401</v>
      </c>
      <c r="C89" s="2576">
        <f>ROUND(C88*D89,0)</f>
        <v>0</v>
      </c>
      <c r="D89" s="2577">
        <f>'数据-取费表'!B48+'数据-取费表'!B49</f>
        <v>3.0499999999999999E-2</v>
      </c>
      <c r="E89" s="193" t="s">
        <v>1413</v>
      </c>
      <c r="F89" s="3454"/>
      <c r="G89" s="3454"/>
      <c r="H89" s="345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1414</v>
      </c>
      <c r="C90" s="2582"/>
      <c r="D90" s="2577"/>
      <c r="E90" s="193" t="str">
        <f>IF(H88="-","土地取得成本中已包含该笔费用"," ")</f>
        <v xml:space="preserve"> </v>
      </c>
      <c r="F90" s="3454"/>
      <c r="G90" s="3666" t="s">
        <v>2127</v>
      </c>
      <c r="H90" s="3667"/>
      <c r="I90" s="1821"/>
      <c r="J90" s="2521" t="s">
        <v>2278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1415</v>
      </c>
      <c r="B91" s="170" t="s">
        <v>1416</v>
      </c>
      <c r="C91" s="2576">
        <f>IF(H91="——",成本法!C33,I91)</f>
        <v>0</v>
      </c>
      <c r="D91" s="2577"/>
      <c r="E91" s="3584" t="s">
        <v>1417</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1418</v>
      </c>
      <c r="B92" s="170" t="s">
        <v>1419</v>
      </c>
      <c r="C92" s="2576">
        <f>ROUND((C87+C90+C91)*D92,0)</f>
        <v>0</v>
      </c>
      <c r="D92" s="2583"/>
      <c r="E92" s="3584" t="s">
        <v>1420</v>
      </c>
      <c r="F92" s="3585"/>
      <c r="G92" s="3585"/>
      <c r="H92" s="3594"/>
      <c r="I92" s="1821"/>
      <c r="J92" s="2522" t="s">
        <v>2279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1421</v>
      </c>
      <c r="B93" s="170" t="s">
        <v>1403</v>
      </c>
      <c r="C93" s="2576" t="e">
        <f ca="1">ROUND(D45*D93/(1+'数据-取费表'!C42),0)</f>
        <v>#REF!</v>
      </c>
      <c r="D93" s="2577">
        <f>'数据-取费表'!B43</f>
        <v>6.000000000000001E-3</v>
      </c>
      <c r="E93" s="3584" t="s">
        <v>1404</v>
      </c>
      <c r="F93" s="3585"/>
      <c r="G93" s="3585"/>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1422</v>
      </c>
      <c r="B94" s="170" t="s">
        <v>1423</v>
      </c>
      <c r="C94" s="2582">
        <f>ROUND((C87+C90+C91)*D94,0)</f>
        <v>0</v>
      </c>
      <c r="D94" s="2577">
        <v>0.2</v>
      </c>
      <c r="E94" s="3595" t="s">
        <v>1424</v>
      </c>
      <c r="F94" s="3596"/>
      <c r="G94" s="3596"/>
      <c r="H94" s="359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328</v>
      </c>
      <c r="B95" s="174" t="s">
        <v>1405</v>
      </c>
      <c r="C95" s="2568" t="e">
        <f ca="1">ROUND(C85-C86,0)</f>
        <v>#REF!</v>
      </c>
      <c r="D95" s="170" t="s">
        <v>26</v>
      </c>
      <c r="E95" s="3459"/>
      <c r="F95" s="3452"/>
      <c r="G95" s="3452"/>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1406</v>
      </c>
      <c r="C96" s="2578" t="e">
        <f ca="1">IF(C95&lt;=0,0,C95/C86)</f>
        <v>#REF!</v>
      </c>
      <c r="D96" s="170" t="s">
        <v>26</v>
      </c>
      <c r="E96" s="3468" t="e">
        <f ca="1">IF(C96&gt;=200%,"增值额超过扣除项目金额200%",IF(C96&gt;=100%,"增值额超过扣除项目金额100%，未超过200%",IF(C96&gt;=50%,"增值额超过扣除项目金额50%，未超过100%",IF(C96&lt;50%,"增值额未超过扣除项目金额50%"))))</f>
        <v>#REF!</v>
      </c>
      <c r="F96" s="3452"/>
      <c r="G96" s="3452"/>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1407</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1425</v>
      </c>
      <c r="B99" s="1747"/>
      <c r="C99" s="1747"/>
      <c r="D99" s="1747"/>
      <c r="E99" s="1578"/>
      <c r="F99" s="1578"/>
      <c r="G99" s="1578"/>
      <c r="H99" s="1577"/>
      <c r="I99" s="129"/>
    </row>
    <row r="100" spans="1:35" ht="18.75" customHeight="1">
      <c r="A100" s="3568" t="s">
        <v>1426</v>
      </c>
      <c r="B100" s="3569"/>
      <c r="C100" s="3569"/>
      <c r="D100" s="3586"/>
      <c r="E100" s="3569" t="s">
        <v>1427</v>
      </c>
      <c r="F100" s="3569"/>
      <c r="G100" s="3569"/>
      <c r="H100" s="3586"/>
      <c r="I100" s="129"/>
    </row>
    <row r="101" spans="1:35" ht="18.75" customHeight="1">
      <c r="A101" s="3647" t="s">
        <v>1428</v>
      </c>
      <c r="B101" s="3648"/>
      <c r="C101" s="2585" t="str">
        <f>C4</f>
        <v>比较法-办公</v>
      </c>
      <c r="D101" s="2586" t="str">
        <f>D4</f>
        <v>办公收益法 (元)</v>
      </c>
      <c r="E101" s="3661" t="s">
        <v>1429</v>
      </c>
      <c r="F101" s="3618"/>
      <c r="G101" s="1827" t="s">
        <v>1430</v>
      </c>
      <c r="H101" s="2595" t="e">
        <f ca="1">H118</f>
        <v>#REF!</v>
      </c>
      <c r="I101" s="129"/>
    </row>
    <row r="102" spans="1:35" ht="18.75" customHeight="1">
      <c r="A102" s="3620" t="s">
        <v>1431</v>
      </c>
      <c r="B102" s="2584" t="s">
        <v>1430</v>
      </c>
      <c r="C102" s="2585">
        <f ca="1">IF(D32="楼面单价",ROUND(C19,0),C19)</f>
        <v>6076.3082999999997</v>
      </c>
      <c r="D102" s="2586">
        <f ca="1">IF(D32="楼面单价",ROUND(D19,0),D19)</f>
        <v>2889.9256</v>
      </c>
      <c r="E102" s="3661"/>
      <c r="F102" s="3618"/>
      <c r="G102" s="1827" t="s">
        <v>1432</v>
      </c>
      <c r="H102" s="2555" t="e">
        <f ca="1">I118</f>
        <v>#REF!</v>
      </c>
      <c r="I102" s="129"/>
    </row>
    <row r="103" spans="1:35" ht="42.75" customHeight="1">
      <c r="A103" s="3620"/>
      <c r="B103" s="2584" t="s">
        <v>1432</v>
      </c>
      <c r="C103" s="2587">
        <f ca="1">C20</f>
        <v>90303</v>
      </c>
      <c r="D103" s="2588">
        <f ca="1">D20</f>
        <v>42949</v>
      </c>
      <c r="E103" s="3655" t="s">
        <v>1433</v>
      </c>
      <c r="F103" s="3656"/>
      <c r="G103" s="1828" t="s">
        <v>1434</v>
      </c>
      <c r="H103" s="2595">
        <f>IF(D36="正常操作",H104+H105+H106,H105+H106)</f>
        <v>0</v>
      </c>
      <c r="I103" s="129"/>
    </row>
    <row r="104" spans="1:35" ht="18.75" customHeight="1">
      <c r="A104" s="3620" t="s">
        <v>1435</v>
      </c>
      <c r="B104" s="2589" t="s">
        <v>1430</v>
      </c>
      <c r="C104" s="2590" t="e">
        <f ca="1">H118</f>
        <v>#REF!</v>
      </c>
      <c r="D104" s="2591"/>
      <c r="E104" s="1674" t="s">
        <v>1436</v>
      </c>
      <c r="F104" s="1666"/>
      <c r="G104" s="1828" t="s">
        <v>1434</v>
      </c>
      <c r="H104" s="2596">
        <f>IF(D36="同一抵押权人同一抵押物续贷",C36&amp;"（续贷，未扣减，详见特别提示）",C36)</f>
        <v>0</v>
      </c>
      <c r="I104" s="129"/>
    </row>
    <row r="105" spans="1:35" ht="18.75" customHeight="1" thickBot="1">
      <c r="A105" s="3621"/>
      <c r="B105" s="2592" t="s">
        <v>1432</v>
      </c>
      <c r="C105" s="2593" t="e">
        <f ca="1">I118</f>
        <v>#REF!</v>
      </c>
      <c r="D105" s="2594"/>
      <c r="E105" s="1674" t="s">
        <v>1437</v>
      </c>
      <c r="F105" s="1666"/>
      <c r="G105" s="1828" t="s">
        <v>1434</v>
      </c>
      <c r="H105" s="2597">
        <f>C37</f>
        <v>0</v>
      </c>
      <c r="I105" s="129"/>
    </row>
    <row r="106" spans="1:35" ht="18.75" customHeight="1">
      <c r="A106" s="1747" t="s">
        <v>1438</v>
      </c>
      <c r="B106" s="1747"/>
      <c r="C106" s="1747"/>
      <c r="D106" s="1747"/>
      <c r="E106" s="1829" t="s">
        <v>1439</v>
      </c>
      <c r="F106" s="1666"/>
      <c r="G106" s="1828" t="s">
        <v>1434</v>
      </c>
      <c r="H106" s="2597">
        <f>C38</f>
        <v>0</v>
      </c>
      <c r="I106" s="129"/>
    </row>
    <row r="107" spans="1:35" ht="18.75" customHeight="1">
      <c r="A107" s="129"/>
      <c r="B107" s="129"/>
      <c r="C107" s="129"/>
      <c r="D107" s="129"/>
      <c r="E107" s="3617" t="str">
        <f>IF(项目基本情况!E8="已注销","——","3.房地产抵押价值")</f>
        <v>3.房地产抵押价值</v>
      </c>
      <c r="F107" s="3618"/>
      <c r="G107" s="1827" t="s">
        <v>1430</v>
      </c>
      <c r="H107" s="2595" t="e">
        <f ca="1">IF(E107="——","——",H101-H103)</f>
        <v>#REF!</v>
      </c>
      <c r="I107" s="129"/>
    </row>
    <row r="108" spans="1:35" ht="18.75" customHeight="1">
      <c r="A108" s="129"/>
      <c r="B108" s="129"/>
      <c r="C108" s="129"/>
      <c r="D108" s="129"/>
      <c r="E108" s="3617"/>
      <c r="F108" s="3618"/>
      <c r="G108" s="1827" t="s">
        <v>1432</v>
      </c>
      <c r="H108" s="2555">
        <f ca="1">IF(H107=H101,H102,ROUND(H107*10000/'数据-汇总表'!E3,0))</f>
        <v>0</v>
      </c>
      <c r="I108" s="129"/>
    </row>
    <row r="109" spans="1:35" ht="18.75" customHeight="1">
      <c r="A109" s="129"/>
      <c r="B109" s="129"/>
      <c r="C109" s="129"/>
      <c r="D109" s="129"/>
      <c r="E109" s="3617" t="str">
        <f>IF(项目基本情况!E8="已注销及未注销","4.抵押担保权已注销时的房地产抵押价值",IF(项目基本情况!E8="已注销","3.抵押担保权已注销时的房地产抵押价值","——"))</f>
        <v>——</v>
      </c>
      <c r="F109" s="3618"/>
      <c r="G109" s="1827" t="s">
        <v>1430</v>
      </c>
      <c r="H109" s="2598" t="str">
        <f>IF(E109="——","——",H101-H105-H106)</f>
        <v>——</v>
      </c>
      <c r="I109" s="129"/>
    </row>
    <row r="110" spans="1:35" ht="18.75" customHeight="1">
      <c r="A110" s="129"/>
      <c r="B110" s="129"/>
      <c r="C110" s="129"/>
      <c r="D110" s="129"/>
      <c r="E110" s="3617"/>
      <c r="F110" s="3618"/>
      <c r="G110" s="1827" t="s">
        <v>1432</v>
      </c>
      <c r="H110" s="2555" t="str">
        <f>IF(H109="——","——",ROUND(H109*10000/'数据-汇总表'!E3,0))</f>
        <v>——</v>
      </c>
      <c r="I110" s="129"/>
    </row>
    <row r="111" spans="1:35" ht="18.75" customHeight="1">
      <c r="A111" s="129"/>
      <c r="B111" s="129"/>
      <c r="C111" s="129"/>
      <c r="D111" s="129"/>
      <c r="E111" s="3649" t="str">
        <f>IF(项目基本情况!E9="抵押净值",IF(OR(项目基本情况!E8="已注销",项目基本情况!E8="房地产抵押价值"),"4.抵押净值","5.抵押净值"),"——")</f>
        <v>——</v>
      </c>
      <c r="F111" s="3619"/>
      <c r="G111" s="1827" t="s">
        <v>1430</v>
      </c>
      <c r="H111" s="2595" t="str">
        <f>IF(E111="——","——",N59)</f>
        <v>——</v>
      </c>
      <c r="I111" s="129"/>
    </row>
    <row r="112" spans="1:35" ht="18.75" customHeight="1" thickBot="1">
      <c r="A112" s="129"/>
      <c r="B112" s="129"/>
      <c r="C112" s="129"/>
      <c r="D112" s="129"/>
      <c r="E112" s="3650"/>
      <c r="F112" s="3651"/>
      <c r="G112" s="1830" t="s">
        <v>1432</v>
      </c>
      <c r="H112" s="2599" t="str">
        <f>IF(E111="——","——",N61)</f>
        <v>——</v>
      </c>
      <c r="I112" s="129"/>
    </row>
    <row r="113" spans="1:27" ht="18.75" customHeight="1">
      <c r="A113" s="129"/>
      <c r="B113" s="129"/>
      <c r="C113" s="129"/>
      <c r="D113" s="129"/>
      <c r="E113" s="3622" t="s">
        <v>1438</v>
      </c>
      <c r="F113" s="3622"/>
      <c r="G113" s="3622"/>
      <c r="H113" s="3622"/>
      <c r="I113" s="129"/>
    </row>
    <row r="114" spans="1:27" ht="3.75" customHeight="1">
      <c r="A114" s="1747"/>
      <c r="B114" s="1747"/>
      <c r="C114" s="1747"/>
      <c r="D114" s="1747"/>
      <c r="E114" s="1809"/>
      <c r="F114" s="1809"/>
      <c r="G114" s="1809"/>
      <c r="H114" s="1809"/>
      <c r="I114" s="1747"/>
    </row>
    <row r="115" spans="1:27" ht="18.75" customHeight="1">
      <c r="A115" s="3632" t="s">
        <v>1440</v>
      </c>
      <c r="B115" s="3633"/>
      <c r="C115" s="3633"/>
      <c r="D115" s="3633"/>
      <c r="E115" s="3633"/>
      <c r="F115" s="3633"/>
      <c r="G115" s="3633"/>
      <c r="H115" s="3633"/>
      <c r="I115" s="3634"/>
    </row>
    <row r="116" spans="1:27" ht="27" customHeight="1">
      <c r="A116" s="3588" t="s">
        <v>1441</v>
      </c>
      <c r="B116" s="3623" t="s">
        <v>1442</v>
      </c>
      <c r="C116" s="3623" t="s">
        <v>1443</v>
      </c>
      <c r="D116" s="3636" t="s">
        <v>1444</v>
      </c>
      <c r="E116" s="3637"/>
      <c r="F116" s="3631" t="s">
        <v>1445</v>
      </c>
      <c r="G116" s="3631"/>
      <c r="H116" s="3588" t="s">
        <v>1446</v>
      </c>
      <c r="I116" s="3588"/>
    </row>
    <row r="117" spans="1:27" ht="18.75" customHeight="1">
      <c r="A117" s="3588"/>
      <c r="B117" s="3624"/>
      <c r="C117" s="3624"/>
      <c r="D117" s="3455" t="s">
        <v>1447</v>
      </c>
      <c r="E117" s="3455" t="s">
        <v>1448</v>
      </c>
      <c r="F117" s="3455" t="s">
        <v>1447</v>
      </c>
      <c r="G117" s="3455" t="s">
        <v>1449</v>
      </c>
      <c r="H117" s="3455" t="s">
        <v>1447</v>
      </c>
      <c r="I117" s="3455" t="s">
        <v>1449</v>
      </c>
    </row>
    <row r="118" spans="1:27" ht="24.75" customHeight="1">
      <c r="A118" s="2600" t="str">
        <f>项目基本情况!S2</f>
        <v>北京市房地产</v>
      </c>
      <c r="B118" s="3455">
        <f>M18</f>
        <v>778.02</v>
      </c>
      <c r="C118" s="3455">
        <f>M19</f>
        <v>0</v>
      </c>
      <c r="D118" s="3455" t="e">
        <f ca="1">ROUND(IF(D32="总价",C34,E118*B118/10000),0)</f>
        <v>#REF!</v>
      </c>
      <c r="E118" s="3455" t="e">
        <f ca="1">ROUND(IF(C33="自定义",IF(D32="楼面单价",C34,D118*10000/B118),I118-G118),0)</f>
        <v>#REF!</v>
      </c>
      <c r="F118" s="3455" t="e">
        <f ca="1">ROUND(IF(D32="总价",C35,G118*B118/10000),0)</f>
        <v>#REF!</v>
      </c>
      <c r="G118" s="3455" t="e">
        <f ca="1">ROUND(IF(D32="楼面单价",C35,F118*10000/B118),0)</f>
        <v>#REF!</v>
      </c>
      <c r="H118" s="3455" t="e">
        <f ca="1">ROUND(IF(D32="总价",C32,I118*B118/10000),0)</f>
        <v>#REF!</v>
      </c>
      <c r="I118" s="3455" t="e">
        <f ca="1">ROUND(IF(D32="楼面单价",C32,H118*10000/B118),0)</f>
        <v>#REF!</v>
      </c>
    </row>
    <row r="119" spans="1:27" ht="18.75" customHeight="1">
      <c r="A119" s="3588" t="s">
        <v>1450</v>
      </c>
      <c r="B119" s="3588"/>
      <c r="C119" s="3588"/>
      <c r="D119" s="3628" t="e">
        <f ca="1">NUMBERSTRING(INT(D118*10000),2)&amp;"元整"</f>
        <v>#REF!</v>
      </c>
      <c r="E119" s="3630"/>
      <c r="F119" s="3628" t="e">
        <f ca="1">NUMBERSTRING(INT(F118*10000),2)&amp;"元整"</f>
        <v>#REF!</v>
      </c>
      <c r="G119" s="3630"/>
      <c r="H119" s="3628" t="e">
        <f ca="1">NUMBERSTRING(INT(H118*10000),2)&amp;"元整"</f>
        <v>#REF!</v>
      </c>
      <c r="I119" s="3630"/>
    </row>
    <row r="120" spans="1:27" ht="18.75" customHeight="1">
      <c r="A120" s="3652" t="str">
        <f>IF(项目基本情况!B9="房地产市场价值","",MID(E103,3,LEN(E103)-2))</f>
        <v>估价师知悉的法定优先受偿款</v>
      </c>
      <c r="B120" s="3653"/>
      <c r="C120" s="3654"/>
      <c r="D120" s="3652">
        <f>H103</f>
        <v>0</v>
      </c>
      <c r="E120" s="3653"/>
      <c r="F120" s="3653"/>
      <c r="G120" s="3653"/>
      <c r="H120" s="3653"/>
      <c r="I120" s="365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8" t="s">
        <v>1450</v>
      </c>
      <c r="B121" s="3629"/>
      <c r="C121" s="3630"/>
      <c r="D121" s="3628" t="str">
        <f>IF(D120=0,"零元整",NUMBERSTRING(INT(D120*10000),2)&amp;"元整")</f>
        <v>零元整</v>
      </c>
      <c r="E121" s="3629"/>
      <c r="F121" s="3629"/>
      <c r="G121" s="3629"/>
      <c r="H121" s="3629"/>
      <c r="I121" s="3630"/>
      <c r="AA121" s="725"/>
    </row>
    <row r="122" spans="1:27" ht="18.75" customHeight="1">
      <c r="A122" s="3619" t="str">
        <f>IF(项目基本情况!B9="房地产市场价值","",MID(E107,3,LEN(E107)-2))</f>
        <v>房地产抵押价值</v>
      </c>
      <c r="B122" s="3619"/>
      <c r="C122" s="3619"/>
      <c r="D122" s="3652" t="e">
        <f ca="1">H107</f>
        <v>#REF!</v>
      </c>
      <c r="E122" s="3653"/>
      <c r="F122" s="3653"/>
      <c r="G122" s="3653"/>
      <c r="H122" s="3653"/>
      <c r="I122" s="3654"/>
      <c r="AA122" s="725"/>
    </row>
    <row r="123" spans="1:27" ht="18.75" customHeight="1">
      <c r="A123" s="3588" t="s">
        <v>1450</v>
      </c>
      <c r="B123" s="3588"/>
      <c r="C123" s="3588"/>
      <c r="D123" s="3628" t="e">
        <f ca="1">NUMBERSTRING(INT(D122*10000),2)&amp;"元整"</f>
        <v>#REF!</v>
      </c>
      <c r="E123" s="3629"/>
      <c r="F123" s="3629"/>
      <c r="G123" s="3629"/>
      <c r="H123" s="3629"/>
      <c r="I123" s="3630"/>
      <c r="AA123" s="725"/>
    </row>
    <row r="124" spans="1:27" ht="18.75" customHeight="1">
      <c r="A124" s="3619" t="str">
        <f>IF(项目基本情况!B9="房地产市场价值","",MID(E109,3,LEN(E109)-2))</f>
        <v/>
      </c>
      <c r="B124" s="3619"/>
      <c r="C124" s="3619"/>
      <c r="D124" s="3652" t="str">
        <f>H109</f>
        <v>——</v>
      </c>
      <c r="E124" s="3653"/>
      <c r="F124" s="3653"/>
      <c r="G124" s="3653"/>
      <c r="H124" s="3653"/>
      <c r="I124" s="3654"/>
      <c r="AA124" s="725"/>
    </row>
    <row r="125" spans="1:27" ht="18.75" customHeight="1">
      <c r="A125" s="3588" t="s">
        <v>1450</v>
      </c>
      <c r="B125" s="3588"/>
      <c r="C125" s="3588"/>
      <c r="D125" s="3628" t="e">
        <f>NUMBERSTRING(INT(D124*10000),2)&amp;"元整"</f>
        <v>#VALUE!</v>
      </c>
      <c r="E125" s="3629"/>
      <c r="F125" s="3629"/>
      <c r="G125" s="3629"/>
      <c r="H125" s="3629"/>
      <c r="I125" s="3630"/>
      <c r="AA125" s="725"/>
    </row>
    <row r="126" spans="1:27" ht="18.75" customHeight="1">
      <c r="A126" s="3619" t="str">
        <f>IF(项目基本情况!B9="房地产市场价值","",MID(E111,3,LEN(E111)-2))</f>
        <v/>
      </c>
      <c r="B126" s="3619"/>
      <c r="C126" s="3619"/>
      <c r="D126" s="3652" t="str">
        <f>H111</f>
        <v>——</v>
      </c>
      <c r="E126" s="3653"/>
      <c r="F126" s="3653"/>
      <c r="G126" s="3653"/>
      <c r="H126" s="3653"/>
      <c r="I126" s="3654"/>
      <c r="AA126" s="725"/>
    </row>
    <row r="127" spans="1:27" ht="18.75" customHeight="1">
      <c r="A127" s="3588" t="s">
        <v>1450</v>
      </c>
      <c r="B127" s="3588"/>
      <c r="C127" s="3588"/>
      <c r="D127" s="3628" t="e">
        <f>NUMBERSTRING(INT(D126*10000),2)&amp;"元整"</f>
        <v>#VALUE!</v>
      </c>
      <c r="E127" s="3629"/>
      <c r="F127" s="3629"/>
      <c r="G127" s="3629"/>
      <c r="H127" s="3629"/>
      <c r="I127" s="3630"/>
      <c r="AA127" s="725"/>
    </row>
    <row r="128" spans="1:27" ht="21.75" customHeight="1">
      <c r="A128" s="3635" t="s">
        <v>1451</v>
      </c>
      <c r="B128" s="3635"/>
      <c r="C128" s="3635"/>
      <c r="D128" s="3635"/>
      <c r="E128" s="3635"/>
      <c r="F128" s="3635"/>
      <c r="G128" s="3635"/>
      <c r="H128" s="3635"/>
      <c r="I128" s="3635"/>
      <c r="AA128" s="725"/>
    </row>
    <row r="129" spans="1:35" ht="21.75" customHeight="1">
      <c r="A129" s="1831" t="s">
        <v>1452</v>
      </c>
      <c r="B129" s="1832"/>
      <c r="C129" s="1833" t="s">
        <v>1453</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1454</v>
      </c>
      <c r="G135" s="1848"/>
      <c r="H135" s="1848"/>
      <c r="I135" s="1849" t="s">
        <v>1455</v>
      </c>
    </row>
    <row r="136" spans="1:35" ht="21.75" customHeight="1">
      <c r="A136" s="725"/>
      <c r="B136" s="1850"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1457</v>
      </c>
    </row>
    <row r="139" spans="1:35" ht="21.75" customHeight="1">
      <c r="A139" s="725"/>
      <c r="B139" s="1850" t="s">
        <v>1458</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1457</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5:C7">
    <cfRule type="cellIs" dxfId="133" priority="10" stopIfTrue="1" operator="equal">
      <formula>25</formula>
    </cfRule>
  </conditionalFormatting>
  <conditionalFormatting sqref="C8:C9">
    <cfRule type="cellIs" dxfId="132" priority="9" stopIfTrue="1" operator="equal">
      <formula>15</formula>
    </cfRule>
  </conditionalFormatting>
  <conditionalFormatting sqref="C14:C16">
    <cfRule type="cellIs" dxfId="131" priority="8" stopIfTrue="1" operator="equal">
      <formula>30</formula>
    </cfRule>
  </conditionalFormatting>
  <conditionalFormatting sqref="D5:D7">
    <cfRule type="cellIs" dxfId="130" priority="7" stopIfTrue="1" operator="equal">
      <formula>25</formula>
    </cfRule>
  </conditionalFormatting>
  <conditionalFormatting sqref="D8:D9">
    <cfRule type="cellIs" dxfId="129" priority="6" stopIfTrue="1" operator="equal">
      <formula>15</formula>
    </cfRule>
  </conditionalFormatting>
  <conditionalFormatting sqref="C10:D13">
    <cfRule type="cellIs" dxfId="128" priority="5" stopIfTrue="1" operator="equal">
      <formula>15</formula>
    </cfRule>
  </conditionalFormatting>
  <conditionalFormatting sqref="D14:D16">
    <cfRule type="cellIs" dxfId="127" priority="4" stopIfTrue="1" operator="equal">
      <formula>30</formula>
    </cfRule>
  </conditionalFormatting>
  <conditionalFormatting sqref="C90">
    <cfRule type="expression" dxfId="126" priority="3" stopIfTrue="1">
      <formula>$H$88&lt;&gt;"仅含出让金"</formula>
    </cfRule>
  </conditionalFormatting>
  <conditionalFormatting sqref="C91">
    <cfRule type="expression" dxfId="125" priority="2" stopIfTrue="1">
      <formula>$H$91="由企业提供"</formula>
    </cfRule>
  </conditionalFormatting>
  <conditionalFormatting sqref="E36">
    <cfRule type="expression" dxfId="124"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0" zoomScaleNormal="70" zoomScaleSheetLayoutView="80" workbookViewId="0">
      <selection activeCell="M16" sqref="M1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1808</v>
      </c>
      <c r="C1" s="1224" t="s">
        <v>1660</v>
      </c>
      <c r="D1" s="1225" t="s">
        <v>3380</v>
      </c>
      <c r="E1" s="3433" t="s">
        <v>3387</v>
      </c>
      <c r="F1" s="1879" t="s">
        <v>3388</v>
      </c>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f>IF(E1="项目模式",IF(C2="——",ROUND(C50*D3/10000,0),ROUND(C50*D3/10000,0)-D2),IF(E1="单套模式",IF(C2="——",ROUND(C50*D3/10000,4),ROUND(C50*D3/10000,4)-D2)))</f>
        <v>6076.3082999999997</v>
      </c>
      <c r="C2" s="1881" t="s">
        <v>43</v>
      </c>
      <c r="D2" s="1115" t="e">
        <f ca="1">IF(E1="项目模式",SUMIF(INDIRECT("'"&amp;F2&amp;"'"&amp;"!A:A"),"承租人权益价值",INDIRECT("'"&amp;F2&amp;"'"&amp;"!c:c")),SUMIF(INDIRECT("'"&amp;F2&amp;"'"&amp;"!A:A"),"承租人权益价值（单套）",INDIRECT("'"&amp;F2&amp;"'"&amp;"!c:c")))</f>
        <v>#REF!</v>
      </c>
      <c r="E2" s="1882" t="s">
        <v>1461</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90303</v>
      </c>
      <c r="C3" s="354" t="s">
        <v>1766</v>
      </c>
      <c r="D3" s="353">
        <f>IF(D1="",'数据-汇总表'!E3,SUMIF('数据-汇总表'!$C19:$C33,D1,'数据-汇总表'!$E19:$E33))</f>
        <v>672.88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1767</v>
      </c>
      <c r="B4" s="356"/>
      <c r="C4" s="3692" t="s">
        <v>1768</v>
      </c>
      <c r="D4" s="3693"/>
      <c r="E4" s="3694" t="s">
        <v>1769</v>
      </c>
      <c r="F4" s="3695"/>
      <c r="G4" s="3692" t="s">
        <v>1770</v>
      </c>
      <c r="H4" s="3693"/>
      <c r="I4" s="3692" t="s">
        <v>1771</v>
      </c>
      <c r="J4" s="3693"/>
      <c r="K4" s="559" t="s">
        <v>1772</v>
      </c>
      <c r="L4" s="2715"/>
      <c r="M4" s="2716"/>
      <c r="N4" s="2716"/>
      <c r="O4" s="2716"/>
      <c r="P4" s="3766" t="s">
        <v>1773</v>
      </c>
      <c r="Q4" s="3767"/>
      <c r="R4" s="3770" t="s">
        <v>1769</v>
      </c>
      <c r="S4" s="3771"/>
      <c r="T4" s="3770" t="s">
        <v>1770</v>
      </c>
      <c r="U4" s="3771"/>
      <c r="V4" s="3772" t="s">
        <v>1771</v>
      </c>
      <c r="W4" s="3772"/>
      <c r="X4" s="1958"/>
      <c r="Y4" s="3770" t="s">
        <v>1773</v>
      </c>
      <c r="Z4" s="3771"/>
      <c r="AA4" s="3774" t="s">
        <v>1769</v>
      </c>
      <c r="AB4" s="3774" t="s">
        <v>1770</v>
      </c>
      <c r="AC4" s="3763" t="s">
        <v>1771</v>
      </c>
    </row>
    <row r="5" spans="1:29" ht="15">
      <c r="A5" s="358"/>
      <c r="B5" s="359"/>
      <c r="C5" s="3710" t="s">
        <v>1671</v>
      </c>
      <c r="D5" s="3711"/>
      <c r="E5" s="3717" t="s">
        <v>1672</v>
      </c>
      <c r="F5" s="3718"/>
      <c r="G5" s="3710" t="s">
        <v>1673</v>
      </c>
      <c r="H5" s="3711"/>
      <c r="I5" s="3710" t="s">
        <v>1674</v>
      </c>
      <c r="J5" s="3711"/>
      <c r="K5" s="559"/>
      <c r="L5" s="2715"/>
      <c r="M5" s="2716"/>
      <c r="N5" s="2716"/>
      <c r="O5" s="2716"/>
      <c r="P5" s="3768"/>
      <c r="Q5" s="3699"/>
      <c r="R5" s="3704"/>
      <c r="S5" s="3705"/>
      <c r="T5" s="3704"/>
      <c r="U5" s="3705"/>
      <c r="V5" s="3687"/>
      <c r="W5" s="3687"/>
      <c r="X5" s="1355"/>
      <c r="Y5" s="3704"/>
      <c r="Z5" s="3705"/>
      <c r="AA5" s="3690"/>
      <c r="AB5" s="3690"/>
      <c r="AC5" s="3764"/>
    </row>
    <row r="6" spans="1:29" ht="15.75" thickBot="1">
      <c r="A6" s="360"/>
      <c r="B6" s="361"/>
      <c r="C6" s="3708" t="s">
        <v>1675</v>
      </c>
      <c r="D6" s="3709"/>
      <c r="E6" s="3715" t="s">
        <v>1675</v>
      </c>
      <c r="F6" s="3716"/>
      <c r="G6" s="3708" t="s">
        <v>1675</v>
      </c>
      <c r="H6" s="3709"/>
      <c r="I6" s="3708" t="s">
        <v>1675</v>
      </c>
      <c r="J6" s="3709"/>
      <c r="K6" s="559" t="s">
        <v>1676</v>
      </c>
      <c r="L6" s="2715"/>
      <c r="M6" s="2716"/>
      <c r="N6" s="2716"/>
      <c r="O6" s="2716"/>
      <c r="P6" s="3769"/>
      <c r="Q6" s="3701"/>
      <c r="R6" s="3704"/>
      <c r="S6" s="3705"/>
      <c r="T6" s="3706"/>
      <c r="U6" s="3707"/>
      <c r="V6" s="3687"/>
      <c r="W6" s="3687"/>
      <c r="X6" s="1355"/>
      <c r="Y6" s="3706"/>
      <c r="Z6" s="3707"/>
      <c r="AA6" s="3691"/>
      <c r="AB6" s="3691"/>
      <c r="AC6" s="3765"/>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7"/>
      <c r="M7" s="2718"/>
      <c r="N7" s="2718"/>
      <c r="O7" s="2718"/>
      <c r="P7" s="3773" t="s">
        <v>1678</v>
      </c>
      <c r="Q7" s="3714"/>
      <c r="R7" s="701" t="s">
        <v>14</v>
      </c>
      <c r="S7" s="702">
        <f t="shared" ref="S7:S15" si="0">F7</f>
        <v>100</v>
      </c>
      <c r="T7" s="701" t="s">
        <v>14</v>
      </c>
      <c r="U7" s="702">
        <f t="shared" ref="U7:U15" si="1">H7</f>
        <v>100</v>
      </c>
      <c r="V7" s="701" t="s">
        <v>14</v>
      </c>
      <c r="W7" s="702">
        <f t="shared" ref="W7:W15" si="2">J7</f>
        <v>100</v>
      </c>
      <c r="X7" s="703"/>
      <c r="Y7" s="3712" t="s">
        <v>1678</v>
      </c>
      <c r="Z7" s="3713"/>
      <c r="AA7" s="704">
        <f>D7/F7</f>
        <v>1</v>
      </c>
      <c r="AB7" s="704">
        <f>D7/H7</f>
        <v>1</v>
      </c>
      <c r="AC7" s="1959">
        <f>D7/J7</f>
        <v>1</v>
      </c>
    </row>
    <row r="8" spans="1:29" s="108" customFormat="1" ht="15.75" thickBot="1">
      <c r="A8" s="362" t="s">
        <v>1679</v>
      </c>
      <c r="B8" s="363"/>
      <c r="C8" s="368" t="s">
        <v>3418</v>
      </c>
      <c r="D8" s="365">
        <v>100</v>
      </c>
      <c r="E8" s="368" t="s">
        <v>3416</v>
      </c>
      <c r="F8" s="367">
        <f>SUMIF(62:62,E8,63:63)-SUMIF(62:62,C8,63:63)+100</f>
        <v>110</v>
      </c>
      <c r="G8" s="368" t="s">
        <v>3416</v>
      </c>
      <c r="H8" s="365">
        <f>SUMIF(62:62,G8,63:63)-SUMIF(62:62,C8,63:63)+100</f>
        <v>110</v>
      </c>
      <c r="I8" s="368" t="s">
        <v>3416</v>
      </c>
      <c r="J8" s="365">
        <f>SUMIF(62:62,I8,63:63)-SUMIF(62:62,C8,63:63)+100</f>
        <v>110</v>
      </c>
      <c r="K8" s="560"/>
      <c r="L8" s="2717"/>
      <c r="M8" s="2718"/>
      <c r="N8" s="2718"/>
      <c r="O8" s="2718"/>
      <c r="P8" s="3773" t="s">
        <v>1681</v>
      </c>
      <c r="Q8" s="3713"/>
      <c r="R8" s="701" t="s">
        <v>14</v>
      </c>
      <c r="S8" s="702">
        <f t="shared" si="0"/>
        <v>110</v>
      </c>
      <c r="T8" s="701" t="s">
        <v>14</v>
      </c>
      <c r="U8" s="702">
        <f t="shared" si="1"/>
        <v>110</v>
      </c>
      <c r="V8" s="701" t="s">
        <v>14</v>
      </c>
      <c r="W8" s="702">
        <f t="shared" si="2"/>
        <v>110</v>
      </c>
      <c r="X8" s="703"/>
      <c r="Y8" s="3712" t="s">
        <v>1681</v>
      </c>
      <c r="Z8" s="3713"/>
      <c r="AA8" s="704">
        <f t="shared" ref="AA8:AA47" si="3">D8/F8</f>
        <v>0.90909090909090906</v>
      </c>
      <c r="AB8" s="704">
        <f t="shared" ref="AB8:AB47" si="4">D8/H8</f>
        <v>0.90909090909090906</v>
      </c>
      <c r="AC8" s="1959">
        <f t="shared" ref="AC8:AC47" si="5">D8/J8</f>
        <v>0.90909090909090906</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8"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1959">
        <f t="shared" si="5"/>
        <v>1</v>
      </c>
    </row>
    <row r="10" spans="1:29" s="378" customFormat="1" ht="27">
      <c r="A10" s="374"/>
      <c r="B10" s="375" t="s">
        <v>1686</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8"/>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1959">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8"/>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8"/>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8"/>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8"/>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1959">
        <f t="shared" si="5"/>
        <v>1</v>
      </c>
    </row>
    <row r="15" spans="1:29" ht="15">
      <c r="A15" s="391" t="s">
        <v>1688</v>
      </c>
      <c r="B15" s="577" t="s">
        <v>1809</v>
      </c>
      <c r="C15" s="1961">
        <f>估价对象房地状况!C5</f>
        <v>0</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78" t="s">
        <v>1689</v>
      </c>
      <c r="Q15" s="1352" t="str">
        <f t="shared" si="6"/>
        <v>办公集聚程度</v>
      </c>
      <c r="R15" s="705" t="s">
        <v>14</v>
      </c>
      <c r="S15" s="706">
        <f t="shared" si="0"/>
        <v>100</v>
      </c>
      <c r="T15" s="705" t="s">
        <v>14</v>
      </c>
      <c r="U15" s="706">
        <f t="shared" si="1"/>
        <v>100</v>
      </c>
      <c r="V15" s="705" t="s">
        <v>14</v>
      </c>
      <c r="W15" s="706">
        <f t="shared" si="2"/>
        <v>100</v>
      </c>
      <c r="X15" s="1355"/>
      <c r="Y15" s="3680" t="s">
        <v>1689</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79"/>
      <c r="Q16" s="1352"/>
      <c r="R16" s="705"/>
      <c r="S16" s="706"/>
      <c r="T16" s="705"/>
      <c r="U16" s="706"/>
      <c r="V16" s="705"/>
      <c r="W16" s="706"/>
      <c r="X16" s="1355"/>
      <c r="Y16" s="3681"/>
      <c r="Z16" s="1356"/>
      <c r="AA16" s="1353">
        <v>1</v>
      </c>
      <c r="AB16" s="1353">
        <v>1</v>
      </c>
      <c r="AC16" s="1962">
        <v>1</v>
      </c>
    </row>
    <row r="17" spans="1:29" ht="15">
      <c r="A17" s="379"/>
      <c r="B17" s="579" t="s">
        <v>1257</v>
      </c>
      <c r="C17" s="1963">
        <f>估价对象房地状况!C6</f>
        <v>0</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79"/>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79"/>
      <c r="Q18" s="1352"/>
      <c r="R18" s="705"/>
      <c r="S18" s="706"/>
      <c r="T18" s="705"/>
      <c r="U18" s="706"/>
      <c r="V18" s="705"/>
      <c r="W18" s="706"/>
      <c r="X18" s="1355"/>
      <c r="Y18" s="3681"/>
      <c r="Z18" s="1356"/>
      <c r="AA18" s="1353">
        <v>1</v>
      </c>
      <c r="AB18" s="1353">
        <v>1</v>
      </c>
      <c r="AC18" s="1962">
        <v>1</v>
      </c>
    </row>
    <row r="19" spans="1:29" ht="15">
      <c r="A19" s="379"/>
      <c r="B19" s="579" t="s">
        <v>1810</v>
      </c>
      <c r="C19" s="1963">
        <f>估价对象房地状况!C7</f>
        <v>0</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79"/>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79"/>
      <c r="Q20" s="1352"/>
      <c r="R20" s="705"/>
      <c r="S20" s="706"/>
      <c r="T20" s="705"/>
      <c r="U20" s="706"/>
      <c r="V20" s="705"/>
      <c r="W20" s="706"/>
      <c r="X20" s="1355"/>
      <c r="Y20" s="3681"/>
      <c r="Z20" s="1356"/>
      <c r="AA20" s="1353">
        <v>1</v>
      </c>
      <c r="AB20" s="1353">
        <v>1</v>
      </c>
      <c r="AC20" s="1962">
        <v>1</v>
      </c>
    </row>
    <row r="21" spans="1:29" ht="15">
      <c r="A21" s="379"/>
      <c r="B21" s="581" t="s">
        <v>1811</v>
      </c>
      <c r="C21" s="1963">
        <f>估价对象房地状况!C8</f>
        <v>0</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79"/>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79"/>
      <c r="Q22" s="1352"/>
      <c r="R22" s="705"/>
      <c r="S22" s="706"/>
      <c r="T22" s="705"/>
      <c r="U22" s="706"/>
      <c r="V22" s="705"/>
      <c r="W22" s="706"/>
      <c r="X22" s="1355"/>
      <c r="Y22" s="3681"/>
      <c r="Z22" s="1356"/>
      <c r="AA22" s="1353">
        <v>1</v>
      </c>
      <c r="AB22" s="1353">
        <v>1</v>
      </c>
      <c r="AC22" s="1962">
        <v>1</v>
      </c>
    </row>
    <row r="23" spans="1:29" ht="15">
      <c r="A23" s="379"/>
      <c r="B23" s="579" t="s">
        <v>1812</v>
      </c>
      <c r="C23" s="1963">
        <f>估价对象房地状况!C9</f>
        <v>0</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79"/>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79"/>
      <c r="Q24" s="1352"/>
      <c r="R24" s="705"/>
      <c r="S24" s="706"/>
      <c r="T24" s="705"/>
      <c r="U24" s="706"/>
      <c r="V24" s="705"/>
      <c r="W24" s="706"/>
      <c r="X24" s="1355"/>
      <c r="Y24" s="3681"/>
      <c r="Z24" s="1356"/>
      <c r="AA24" s="1353">
        <v>1</v>
      </c>
      <c r="AB24" s="1353">
        <v>1</v>
      </c>
      <c r="AC24" s="1962">
        <v>1</v>
      </c>
    </row>
    <row r="25" spans="1:29" ht="27">
      <c r="A25" s="358"/>
      <c r="B25" s="579" t="s">
        <v>1813</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79"/>
      <c r="Q25" s="1352" t="str">
        <f>B25</f>
        <v>毗邻道路的类型与等级</v>
      </c>
      <c r="R25" s="705" t="s">
        <v>14</v>
      </c>
      <c r="S25" s="706">
        <f>F25</f>
        <v>100</v>
      </c>
      <c r="T25" s="705" t="s">
        <v>14</v>
      </c>
      <c r="U25" s="706">
        <f>H25</f>
        <v>100</v>
      </c>
      <c r="V25" s="705" t="s">
        <v>14</v>
      </c>
      <c r="W25" s="706">
        <f>J25</f>
        <v>100</v>
      </c>
      <c r="X25" s="1355"/>
      <c r="Y25" s="368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79"/>
      <c r="Q26" s="1352"/>
      <c r="R26" s="705"/>
      <c r="S26" s="706"/>
      <c r="T26" s="705"/>
      <c r="U26" s="706"/>
      <c r="V26" s="705"/>
      <c r="W26" s="706"/>
      <c r="X26" s="1355"/>
      <c r="Y26" s="3681"/>
      <c r="Z26" s="1356"/>
      <c r="AA26" s="1353">
        <v>1</v>
      </c>
      <c r="AB26" s="1353">
        <v>1</v>
      </c>
      <c r="AC26" s="1962">
        <v>1</v>
      </c>
    </row>
    <row r="27" spans="1:29" ht="15">
      <c r="A27" s="379"/>
      <c r="B27" s="580" t="s">
        <v>1781</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79"/>
      <c r="Q27" s="1352" t="str">
        <f t="shared" ref="Q27:Q47" si="11">B27</f>
        <v>楼层</v>
      </c>
      <c r="R27" s="705" t="s">
        <v>14</v>
      </c>
      <c r="S27" s="706">
        <f>F27</f>
        <v>100</v>
      </c>
      <c r="T27" s="705" t="s">
        <v>14</v>
      </c>
      <c r="U27" s="706">
        <f>H27</f>
        <v>100</v>
      </c>
      <c r="V27" s="705" t="s">
        <v>14</v>
      </c>
      <c r="W27" s="706">
        <f>J27</f>
        <v>100</v>
      </c>
      <c r="X27" s="1355"/>
      <c r="Y27" s="3681"/>
      <c r="Z27" s="1356" t="str">
        <f>Q27</f>
        <v>楼层</v>
      </c>
      <c r="AA27" s="1353">
        <f t="shared" si="3"/>
        <v>1</v>
      </c>
      <c r="AB27" s="1353">
        <f t="shared" si="4"/>
        <v>1</v>
      </c>
      <c r="AC27" s="1962">
        <f t="shared" si="5"/>
        <v>1</v>
      </c>
    </row>
    <row r="28" spans="1:29" s="108" customFormat="1" ht="15">
      <c r="A28" s="382"/>
      <c r="B28" s="579" t="s">
        <v>1814</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79"/>
      <c r="Q28" s="1343" t="str">
        <f t="shared" si="11"/>
        <v>朝向</v>
      </c>
      <c r="R28" s="701" t="s">
        <v>14</v>
      </c>
      <c r="S28" s="702">
        <f>F28</f>
        <v>100</v>
      </c>
      <c r="T28" s="701" t="s">
        <v>14</v>
      </c>
      <c r="U28" s="702">
        <f>H28</f>
        <v>100</v>
      </c>
      <c r="V28" s="701" t="s">
        <v>14</v>
      </c>
      <c r="W28" s="702">
        <f>J28</f>
        <v>100</v>
      </c>
      <c r="X28" s="703"/>
      <c r="Y28" s="368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79"/>
      <c r="Q29" s="1352">
        <f t="shared" si="11"/>
        <v>111</v>
      </c>
      <c r="R29" s="705" t="s">
        <v>14</v>
      </c>
      <c r="S29" s="706">
        <f t="shared" ref="S29:S47" si="12">F29</f>
        <v>100</v>
      </c>
      <c r="T29" s="705" t="s">
        <v>14</v>
      </c>
      <c r="U29" s="706">
        <f t="shared" ref="U29:U47" si="13">H29</f>
        <v>100</v>
      </c>
      <c r="V29" s="705" t="s">
        <v>14</v>
      </c>
      <c r="W29" s="706">
        <f t="shared" ref="W29:W47" si="14">J29</f>
        <v>100</v>
      </c>
      <c r="X29" s="1355"/>
      <c r="Y29" s="368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79"/>
      <c r="Q30" s="1352">
        <f t="shared" si="11"/>
        <v>111</v>
      </c>
      <c r="R30" s="705" t="s">
        <v>14</v>
      </c>
      <c r="S30" s="706">
        <f t="shared" si="12"/>
        <v>100</v>
      </c>
      <c r="T30" s="705" t="s">
        <v>14</v>
      </c>
      <c r="U30" s="706">
        <f t="shared" si="13"/>
        <v>100</v>
      </c>
      <c r="V30" s="705" t="s">
        <v>14</v>
      </c>
      <c r="W30" s="706">
        <f t="shared" si="14"/>
        <v>100</v>
      </c>
      <c r="X30" s="1355"/>
      <c r="Y30" s="368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79"/>
      <c r="Q31" s="1352">
        <f t="shared" si="11"/>
        <v>111</v>
      </c>
      <c r="R31" s="705" t="s">
        <v>14</v>
      </c>
      <c r="S31" s="706">
        <f t="shared" si="12"/>
        <v>100</v>
      </c>
      <c r="T31" s="705" t="s">
        <v>14</v>
      </c>
      <c r="U31" s="706">
        <f t="shared" si="13"/>
        <v>100</v>
      </c>
      <c r="V31" s="705" t="s">
        <v>14</v>
      </c>
      <c r="W31" s="706">
        <f t="shared" si="14"/>
        <v>100</v>
      </c>
      <c r="X31" s="1355"/>
      <c r="Y31" s="3681"/>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79"/>
      <c r="Q32" s="1352">
        <f t="shared" si="11"/>
        <v>111</v>
      </c>
      <c r="R32" s="705" t="s">
        <v>14</v>
      </c>
      <c r="S32" s="706">
        <f t="shared" si="12"/>
        <v>100</v>
      </c>
      <c r="T32" s="705" t="s">
        <v>14</v>
      </c>
      <c r="U32" s="706">
        <f t="shared" si="13"/>
        <v>100</v>
      </c>
      <c r="V32" s="705" t="s">
        <v>14</v>
      </c>
      <c r="W32" s="706">
        <f t="shared" si="14"/>
        <v>100</v>
      </c>
      <c r="X32" s="1355"/>
      <c r="Y32" s="3681"/>
      <c r="Z32" s="1356">
        <f t="shared" si="15"/>
        <v>111</v>
      </c>
      <c r="AA32" s="1353">
        <f t="shared" si="3"/>
        <v>1</v>
      </c>
      <c r="AB32" s="1353">
        <f t="shared" si="4"/>
        <v>1</v>
      </c>
      <c r="AC32" s="1962">
        <f t="shared" si="5"/>
        <v>1</v>
      </c>
    </row>
    <row r="33" spans="1:29" ht="15">
      <c r="A33" s="391" t="s">
        <v>1692</v>
      </c>
      <c r="B33" s="63" t="s">
        <v>1815</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82" t="s">
        <v>1694</v>
      </c>
      <c r="Q33" s="1352" t="str">
        <f t="shared" si="11"/>
        <v>建筑类型</v>
      </c>
      <c r="R33" s="705" t="s">
        <v>14</v>
      </c>
      <c r="S33" s="706">
        <f t="shared" si="12"/>
        <v>100</v>
      </c>
      <c r="T33" s="705" t="s">
        <v>14</v>
      </c>
      <c r="U33" s="706">
        <f t="shared" si="13"/>
        <v>100</v>
      </c>
      <c r="V33" s="705" t="s">
        <v>14</v>
      </c>
      <c r="W33" s="706">
        <f t="shared" si="14"/>
        <v>100</v>
      </c>
      <c r="X33" s="1355"/>
      <c r="Y33" s="3685" t="s">
        <v>1694</v>
      </c>
      <c r="Z33" s="1356" t="str">
        <f t="shared" si="15"/>
        <v>建筑类型</v>
      </c>
      <c r="AA33" s="1353">
        <f t="shared" si="3"/>
        <v>1</v>
      </c>
      <c r="AB33" s="1353">
        <f t="shared" si="4"/>
        <v>1</v>
      </c>
      <c r="AC33" s="1962">
        <f t="shared" si="5"/>
        <v>1</v>
      </c>
    </row>
    <row r="34" spans="1:29" s="422" customFormat="1" ht="15">
      <c r="A34" s="419"/>
      <c r="B34" s="375" t="s">
        <v>1695</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21"/>
      <c r="M34" s="2723"/>
      <c r="N34" s="2723"/>
      <c r="O34" s="2723"/>
      <c r="P34" s="3683"/>
      <c r="Q34" s="707" t="str">
        <f t="shared" si="11"/>
        <v>项目建筑规模</v>
      </c>
      <c r="R34" s="708" t="s">
        <v>14</v>
      </c>
      <c r="S34" s="709">
        <f t="shared" si="12"/>
        <v>100</v>
      </c>
      <c r="T34" s="708" t="s">
        <v>14</v>
      </c>
      <c r="U34" s="709">
        <f t="shared" si="13"/>
        <v>100</v>
      </c>
      <c r="V34" s="708" t="s">
        <v>14</v>
      </c>
      <c r="W34" s="709">
        <f t="shared" si="14"/>
        <v>100</v>
      </c>
      <c r="X34" s="710"/>
      <c r="Y34" s="3685"/>
      <c r="Z34" s="711" t="str">
        <f t="shared" si="15"/>
        <v>项目建筑规模</v>
      </c>
      <c r="AA34" s="1353">
        <f t="shared" si="3"/>
        <v>1</v>
      </c>
      <c r="AB34" s="1353">
        <f t="shared" si="4"/>
        <v>1</v>
      </c>
      <c r="AC34" s="1962">
        <f t="shared" si="5"/>
        <v>1</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83"/>
      <c r="Q35" s="1352" t="str">
        <f t="shared" si="11"/>
        <v>建筑结构</v>
      </c>
      <c r="R35" s="705" t="s">
        <v>14</v>
      </c>
      <c r="S35" s="706">
        <f t="shared" si="12"/>
        <v>100</v>
      </c>
      <c r="T35" s="705" t="s">
        <v>14</v>
      </c>
      <c r="U35" s="706">
        <f t="shared" si="13"/>
        <v>100</v>
      </c>
      <c r="V35" s="705" t="s">
        <v>14</v>
      </c>
      <c r="W35" s="706">
        <f t="shared" si="14"/>
        <v>100</v>
      </c>
      <c r="X35" s="1355"/>
      <c r="Y35" s="3685"/>
      <c r="Z35" s="1356" t="str">
        <f t="shared" si="15"/>
        <v>建筑结构</v>
      </c>
      <c r="AA35" s="1353">
        <f t="shared" si="3"/>
        <v>1</v>
      </c>
      <c r="AB35" s="1353">
        <f t="shared" si="4"/>
        <v>1</v>
      </c>
      <c r="AC35" s="1962">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83"/>
      <c r="Q36" s="1352" t="str">
        <f t="shared" si="11"/>
        <v>公共部分装修</v>
      </c>
      <c r="R36" s="705" t="s">
        <v>14</v>
      </c>
      <c r="S36" s="706">
        <f t="shared" si="12"/>
        <v>100</v>
      </c>
      <c r="T36" s="705" t="s">
        <v>14</v>
      </c>
      <c r="U36" s="706">
        <f t="shared" si="13"/>
        <v>100</v>
      </c>
      <c r="V36" s="705" t="s">
        <v>14</v>
      </c>
      <c r="W36" s="706">
        <f t="shared" si="14"/>
        <v>100</v>
      </c>
      <c r="X36" s="1355"/>
      <c r="Y36" s="3685"/>
      <c r="Z36" s="1356" t="str">
        <f t="shared" si="15"/>
        <v>公共部分装修</v>
      </c>
      <c r="AA36" s="1353">
        <f t="shared" si="3"/>
        <v>1</v>
      </c>
      <c r="AB36" s="1353">
        <f t="shared" si="4"/>
        <v>1</v>
      </c>
      <c r="AC36" s="1962">
        <f t="shared" si="5"/>
        <v>1</v>
      </c>
    </row>
    <row r="37" spans="1:29" ht="15">
      <c r="A37" s="423"/>
      <c r="B37" s="375" t="s">
        <v>1784</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c r="L37" s="2722"/>
      <c r="M37" s="2716"/>
      <c r="N37" s="2716"/>
      <c r="O37" s="2716"/>
      <c r="P37" s="3683"/>
      <c r="Q37" s="1352" t="str">
        <f t="shared" si="11"/>
        <v>成新度</v>
      </c>
      <c r="R37" s="705" t="s">
        <v>14</v>
      </c>
      <c r="S37" s="706">
        <f t="shared" si="12"/>
        <v>100</v>
      </c>
      <c r="T37" s="705" t="s">
        <v>14</v>
      </c>
      <c r="U37" s="706">
        <f t="shared" si="13"/>
        <v>100</v>
      </c>
      <c r="V37" s="705" t="s">
        <v>14</v>
      </c>
      <c r="W37" s="706">
        <f t="shared" si="14"/>
        <v>100</v>
      </c>
      <c r="X37" s="1355"/>
      <c r="Y37" s="3685"/>
      <c r="Z37" s="1356" t="str">
        <f t="shared" si="15"/>
        <v>成新度</v>
      </c>
      <c r="AA37" s="1353">
        <f t="shared" si="3"/>
        <v>1</v>
      </c>
      <c r="AB37" s="1353">
        <f t="shared" si="4"/>
        <v>1</v>
      </c>
      <c r="AC37" s="1962">
        <f t="shared" si="5"/>
        <v>1</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83"/>
      <c r="Q38" s="1343" t="str">
        <f t="shared" si="11"/>
        <v>写字楼等级</v>
      </c>
      <c r="R38" s="701" t="s">
        <v>14</v>
      </c>
      <c r="S38" s="702">
        <f t="shared" si="12"/>
        <v>100</v>
      </c>
      <c r="T38" s="701" t="s">
        <v>14</v>
      </c>
      <c r="U38" s="702">
        <f t="shared" si="13"/>
        <v>100</v>
      </c>
      <c r="V38" s="701" t="s">
        <v>14</v>
      </c>
      <c r="W38" s="702">
        <f t="shared" si="14"/>
        <v>100</v>
      </c>
      <c r="X38" s="703"/>
      <c r="Y38" s="3685"/>
      <c r="Z38" s="52" t="str">
        <f t="shared" si="15"/>
        <v>写字楼等级</v>
      </c>
      <c r="AA38" s="704">
        <f t="shared" si="3"/>
        <v>1</v>
      </c>
      <c r="AB38" s="704">
        <f t="shared" si="4"/>
        <v>1</v>
      </c>
      <c r="AC38" s="1959">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83" t="s">
        <v>1694</v>
      </c>
      <c r="Q39" s="1352" t="str">
        <f t="shared" si="11"/>
        <v>物业管理</v>
      </c>
      <c r="R39" s="705" t="s">
        <v>14</v>
      </c>
      <c r="S39" s="706">
        <f t="shared" si="12"/>
        <v>100</v>
      </c>
      <c r="T39" s="705" t="s">
        <v>14</v>
      </c>
      <c r="U39" s="706">
        <f t="shared" si="13"/>
        <v>100</v>
      </c>
      <c r="V39" s="705" t="s">
        <v>14</v>
      </c>
      <c r="W39" s="706">
        <f t="shared" si="14"/>
        <v>100</v>
      </c>
      <c r="X39" s="1355"/>
      <c r="Y39" s="3685" t="s">
        <v>1694</v>
      </c>
      <c r="Z39" s="1356" t="str">
        <f t="shared" si="15"/>
        <v>物业管理</v>
      </c>
      <c r="AA39" s="1353">
        <f t="shared" si="3"/>
        <v>1</v>
      </c>
      <c r="AB39" s="1353">
        <f t="shared" si="4"/>
        <v>1</v>
      </c>
      <c r="AC39" s="1962">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83"/>
      <c r="Q40" s="1352" t="str">
        <f t="shared" si="11"/>
        <v>市政基础设施</v>
      </c>
      <c r="R40" s="705" t="s">
        <v>14</v>
      </c>
      <c r="S40" s="706">
        <f t="shared" si="12"/>
        <v>100</v>
      </c>
      <c r="T40" s="705" t="s">
        <v>14</v>
      </c>
      <c r="U40" s="706">
        <f t="shared" si="13"/>
        <v>100</v>
      </c>
      <c r="V40" s="705" t="s">
        <v>14</v>
      </c>
      <c r="W40" s="706">
        <f t="shared" si="14"/>
        <v>100</v>
      </c>
      <c r="X40" s="1355"/>
      <c r="Y40" s="3685"/>
      <c r="Z40" s="1356" t="str">
        <f t="shared" si="15"/>
        <v>市政基础设施</v>
      </c>
      <c r="AA40" s="1353">
        <f t="shared" si="3"/>
        <v>1</v>
      </c>
      <c r="AB40" s="1353">
        <f t="shared" si="4"/>
        <v>1</v>
      </c>
      <c r="AC40" s="1962">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83"/>
      <c r="Q41" s="1352" t="str">
        <f t="shared" si="11"/>
        <v>层高</v>
      </c>
      <c r="R41" s="705" t="s">
        <v>14</v>
      </c>
      <c r="S41" s="706">
        <f t="shared" si="12"/>
        <v>100</v>
      </c>
      <c r="T41" s="705" t="s">
        <v>14</v>
      </c>
      <c r="U41" s="706">
        <f t="shared" si="13"/>
        <v>100</v>
      </c>
      <c r="V41" s="705" t="s">
        <v>14</v>
      </c>
      <c r="W41" s="706">
        <f t="shared" si="14"/>
        <v>100</v>
      </c>
      <c r="X41" s="1355"/>
      <c r="Y41" s="3685"/>
      <c r="Z41" s="1356" t="str">
        <f t="shared" si="15"/>
        <v>层高</v>
      </c>
      <c r="AA41" s="1353">
        <f t="shared" si="3"/>
        <v>1</v>
      </c>
      <c r="AB41" s="1353">
        <f t="shared" si="4"/>
        <v>1</v>
      </c>
      <c r="AC41" s="1962">
        <f t="shared" si="5"/>
        <v>1</v>
      </c>
    </row>
    <row r="42" spans="1:29" s="422" customFormat="1" ht="15">
      <c r="A42" s="419"/>
      <c r="B42" s="1354"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83"/>
      <c r="Q42" s="707" t="str">
        <f t="shared" si="11"/>
        <v>单套建筑面积</v>
      </c>
      <c r="R42" s="708" t="s">
        <v>14</v>
      </c>
      <c r="S42" s="709">
        <f t="shared" si="12"/>
        <v>100</v>
      </c>
      <c r="T42" s="708" t="s">
        <v>14</v>
      </c>
      <c r="U42" s="709">
        <f t="shared" si="13"/>
        <v>100</v>
      </c>
      <c r="V42" s="708" t="s">
        <v>14</v>
      </c>
      <c r="W42" s="709">
        <f t="shared" si="14"/>
        <v>100</v>
      </c>
      <c r="X42" s="710"/>
      <c r="Y42" s="3685"/>
      <c r="Z42" s="711" t="str">
        <f t="shared" si="15"/>
        <v>单套建筑面积</v>
      </c>
      <c r="AA42" s="1353">
        <f t="shared" si="3"/>
        <v>1</v>
      </c>
      <c r="AB42" s="1353">
        <f t="shared" si="4"/>
        <v>1</v>
      </c>
      <c r="AC42" s="1962">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83"/>
      <c r="Q43" s="1352" t="str">
        <f t="shared" si="11"/>
        <v>内部装修</v>
      </c>
      <c r="R43" s="705" t="s">
        <v>14</v>
      </c>
      <c r="S43" s="706">
        <f t="shared" si="12"/>
        <v>100</v>
      </c>
      <c r="T43" s="705" t="s">
        <v>14</v>
      </c>
      <c r="U43" s="706">
        <f t="shared" si="13"/>
        <v>100</v>
      </c>
      <c r="V43" s="705" t="s">
        <v>14</v>
      </c>
      <c r="W43" s="706">
        <f t="shared" si="14"/>
        <v>100</v>
      </c>
      <c r="X43" s="1355"/>
      <c r="Y43" s="3685"/>
      <c r="Z43" s="1356" t="str">
        <f t="shared" si="15"/>
        <v>内部装修</v>
      </c>
      <c r="AA43" s="1353">
        <f t="shared" si="3"/>
        <v>1</v>
      </c>
      <c r="AB43" s="1353">
        <f t="shared" si="4"/>
        <v>1</v>
      </c>
      <c r="AC43" s="1962">
        <f t="shared" si="5"/>
        <v>1</v>
      </c>
    </row>
    <row r="44" spans="1:29" ht="15">
      <c r="A44" s="423"/>
      <c r="B44" s="375" t="s">
        <v>1705</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83"/>
      <c r="Q44" s="1352" t="str">
        <f t="shared" si="11"/>
        <v>内部装修维护情况</v>
      </c>
      <c r="R44" s="705" t="s">
        <v>14</v>
      </c>
      <c r="S44" s="706">
        <f t="shared" si="12"/>
        <v>100</v>
      </c>
      <c r="T44" s="705" t="s">
        <v>14</v>
      </c>
      <c r="U44" s="706">
        <f t="shared" si="13"/>
        <v>100</v>
      </c>
      <c r="V44" s="705" t="s">
        <v>14</v>
      </c>
      <c r="W44" s="706">
        <f t="shared" si="14"/>
        <v>100</v>
      </c>
      <c r="X44" s="1355"/>
      <c r="Y44" s="368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83"/>
      <c r="Q45" s="1343">
        <f t="shared" si="11"/>
        <v>111</v>
      </c>
      <c r="R45" s="701" t="s">
        <v>14</v>
      </c>
      <c r="S45" s="702">
        <f t="shared" si="12"/>
        <v>100</v>
      </c>
      <c r="T45" s="701" t="s">
        <v>14</v>
      </c>
      <c r="U45" s="702">
        <f t="shared" si="13"/>
        <v>100</v>
      </c>
      <c r="V45" s="701" t="s">
        <v>14</v>
      </c>
      <c r="W45" s="702">
        <f t="shared" si="14"/>
        <v>100</v>
      </c>
      <c r="X45" s="703"/>
      <c r="Y45" s="368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83"/>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84"/>
      <c r="Q47" s="1352">
        <f t="shared" si="11"/>
        <v>111</v>
      </c>
      <c r="R47" s="705" t="s">
        <v>14</v>
      </c>
      <c r="S47" s="706">
        <f t="shared" si="12"/>
        <v>100</v>
      </c>
      <c r="T47" s="705" t="s">
        <v>14</v>
      </c>
      <c r="U47" s="706">
        <f t="shared" si="13"/>
        <v>100</v>
      </c>
      <c r="V47" s="705" t="s">
        <v>14</v>
      </c>
      <c r="W47" s="706">
        <f t="shared" si="14"/>
        <v>100</v>
      </c>
      <c r="X47" s="1355"/>
      <c r="Y47" s="3686"/>
      <c r="Z47" s="1356">
        <f t="shared" si="15"/>
        <v>111</v>
      </c>
      <c r="AA47" s="1353">
        <f t="shared" si="3"/>
        <v>1</v>
      </c>
      <c r="AB47" s="1353">
        <f t="shared" si="4"/>
        <v>1</v>
      </c>
      <c r="AC47" s="1962">
        <f t="shared" si="5"/>
        <v>1</v>
      </c>
    </row>
    <row r="48" spans="1:29" ht="15">
      <c r="A48" s="430" t="s">
        <v>1706</v>
      </c>
      <c r="B48" s="431"/>
      <c r="C48" s="1154" t="s">
        <v>0</v>
      </c>
      <c r="D48" s="1155"/>
      <c r="E48" s="1156">
        <v>100000</v>
      </c>
      <c r="F48" s="1157"/>
      <c r="G48" s="1158">
        <v>110000</v>
      </c>
      <c r="H48" s="1159"/>
      <c r="I48" s="1156">
        <v>88000</v>
      </c>
      <c r="J48" s="436"/>
      <c r="K48" s="714"/>
      <c r="L48" s="2724"/>
      <c r="M48" s="2716"/>
      <c r="N48" s="2716"/>
      <c r="O48" s="2716"/>
      <c r="P48" s="3688" t="str">
        <f>A48</f>
        <v>成交单价（元/平方米）</v>
      </c>
      <c r="Q48" s="3673"/>
      <c r="R48" s="3674">
        <f>E48</f>
        <v>100000</v>
      </c>
      <c r="S48" s="3674"/>
      <c r="T48" s="3674">
        <f>G48</f>
        <v>110000</v>
      </c>
      <c r="U48" s="3674"/>
      <c r="V48" s="3674">
        <f>I48</f>
        <v>88000</v>
      </c>
      <c r="W48" s="3674"/>
      <c r="X48" s="397"/>
      <c r="Y48" s="712"/>
      <c r="Z48" s="397"/>
      <c r="AA48" s="397"/>
      <c r="AB48" s="397"/>
      <c r="AC48" s="578"/>
    </row>
    <row r="49" spans="1:29" ht="15.75" thickBot="1">
      <c r="A49" s="437" t="s">
        <v>1791</v>
      </c>
      <c r="B49" s="438"/>
      <c r="C49" s="1160">
        <f>R50</f>
        <v>90303</v>
      </c>
      <c r="D49" s="2317" t="s">
        <v>2136</v>
      </c>
      <c r="E49" s="1161">
        <f>R49</f>
        <v>90909</v>
      </c>
      <c r="F49" s="2318"/>
      <c r="G49" s="1160">
        <f>T49</f>
        <v>100000</v>
      </c>
      <c r="H49" s="2318"/>
      <c r="I49" s="1161">
        <f>V49</f>
        <v>80000</v>
      </c>
      <c r="J49" s="2318"/>
      <c r="K49" s="2320">
        <f>F49+H49+J49</f>
        <v>0</v>
      </c>
      <c r="L49" s="2724"/>
      <c r="M49" s="2716"/>
      <c r="N49" s="2716"/>
      <c r="O49" s="2716"/>
      <c r="P49" s="3688" t="str">
        <f>A49</f>
        <v>比较价值（元/平方米）</v>
      </c>
      <c r="Q49" s="3673"/>
      <c r="R49" s="3674">
        <f>IF(F1="售价",ROUND(PRODUCT(R48,AA7:AA47),0),ROUND(PRODUCT(R48,AA7:AA47),1))</f>
        <v>90909</v>
      </c>
      <c r="S49" s="3674"/>
      <c r="T49" s="3674">
        <f>IF(F1="售价",ROUND(PRODUCT(T48,AB7:AB47),0),ROUND(PRODUCT(T48,AB7:AB47),1))</f>
        <v>100000</v>
      </c>
      <c r="U49" s="3674"/>
      <c r="V49" s="3674">
        <f>IF(F1="售价",ROUND(PRODUCT(V48,AC7:AC47),0),ROUND(PRODUCT(V48,AC7:AC47),1))</f>
        <v>80000</v>
      </c>
      <c r="W49" s="3674"/>
      <c r="X49" s="397"/>
      <c r="Y49" s="397"/>
      <c r="Z49" s="397"/>
      <c r="AA49" s="397"/>
      <c r="AB49" s="397"/>
      <c r="AC49" s="578"/>
    </row>
    <row r="50" spans="1:29" ht="15.75" thickBot="1">
      <c r="A50" s="441" t="s">
        <v>1792</v>
      </c>
      <c r="B50" s="442"/>
      <c r="C50" s="1163">
        <f>R50</f>
        <v>90303</v>
      </c>
      <c r="D50" s="1163"/>
      <c r="E50" s="1163"/>
      <c r="F50" s="1163"/>
      <c r="G50" s="1163"/>
      <c r="H50" s="1163"/>
      <c r="I50" s="1163"/>
      <c r="J50" s="443"/>
      <c r="K50" s="715"/>
      <c r="L50" s="2724"/>
      <c r="M50" s="2716"/>
      <c r="N50" s="2716"/>
      <c r="O50" s="2716"/>
      <c r="P50" s="3760" t="str">
        <f>A50</f>
        <v>估价对象XX用房的比较价值（楼面单价，元/平方米）</v>
      </c>
      <c r="Q50" s="3761"/>
      <c r="R50" s="3762">
        <f>IF(F1="售价",ROUND(IF(D49="简单平均",AVERAGE(R49:V49),R49*F49+T49*H49+V49*J49),0),ROUND(IF(D49="简单平均",AVERAGE(R49:V49),R49*F49+T49*H49+V49*J49),1))</f>
        <v>90303</v>
      </c>
      <c r="S50" s="3762"/>
      <c r="T50" s="3762"/>
      <c r="U50" s="3762"/>
      <c r="V50" s="3762"/>
      <c r="W50" s="376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1793</v>
      </c>
      <c r="D53" s="447"/>
      <c r="E53" s="448">
        <f>IF(E48&lt;E49,E49/E48-1,E48/E49-1)</f>
        <v>0.10000110000110007</v>
      </c>
      <c r="F53" s="449" t="str">
        <f>IF(OR(E53&gt;=0.3,E53&lt;=-0.3),"超过30%","")</f>
        <v/>
      </c>
      <c r="G53" s="448">
        <f>IF(G48&lt;G49,G49/G48-1,G48/G49-1)</f>
        <v>0.10000000000000009</v>
      </c>
      <c r="H53" s="449" t="str">
        <f>IF(OR(G53&gt;=0.3,G53&lt;=-0.3),"超过30%","")</f>
        <v/>
      </c>
      <c r="I53" s="448">
        <f>IF(I48&lt;I49,I49/I48-1,I48/I49-1)</f>
        <v>0.10000000000000009</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1794</v>
      </c>
      <c r="D54" s="450"/>
      <c r="E54" s="448">
        <f>IF(E49&lt;G49,G49/E49-1,E49/G49-1)</f>
        <v>0.10000110000110007</v>
      </c>
      <c r="F54" s="449" t="str">
        <f>IF(OR(E54&gt;=0.2,E54&lt;=-0.2),"超过20%","")</f>
        <v/>
      </c>
      <c r="G54" s="448">
        <f>IF(G49&lt;I49,I49/G49-1,G49/I49-1)</f>
        <v>0.25</v>
      </c>
      <c r="H54" s="449" t="str">
        <f>IF(OR(G54&gt;=0.2,G54&lt;=-0.2),"超过20%","")</f>
        <v>超过20%</v>
      </c>
      <c r="I54" s="448">
        <f>IF(I49&lt;E49,E49/I49-1,I49/E49-1)</f>
        <v>0.13636249999999994</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1795</v>
      </c>
      <c r="D55" s="450"/>
      <c r="E55" s="448">
        <f>IF(E48&lt;G48,G48/E48-1,E48/G48-1)</f>
        <v>0.10000000000000009</v>
      </c>
      <c r="F55" s="449" t="str">
        <f>IF(OR(E55&gt;=0.3,E55&lt;=-0.3),"超过30%","")</f>
        <v/>
      </c>
      <c r="G55" s="448">
        <f>IF(G48&lt;I48,I48/G48-1,G48/I48-1)</f>
        <v>0.25</v>
      </c>
      <c r="H55" s="449" t="str">
        <f>IF(OR(G55&gt;=0.3,G55&lt;=-0.3),"超过30%","")</f>
        <v/>
      </c>
      <c r="I55" s="448">
        <f>IF(I48&lt;E48,E48/I48-1,I48/E48-1)</f>
        <v>0.13636363636363646</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1796</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1677</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1714</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1679</v>
      </c>
      <c r="B62" s="459"/>
      <c r="C62" s="471" t="s">
        <v>1774</v>
      </c>
      <c r="D62" s="3824" t="s">
        <v>3417</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110</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1717</v>
      </c>
      <c r="B64" s="477" t="s">
        <v>1683</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1686</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1687</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1688</v>
      </c>
      <c r="B77" s="477" t="s">
        <v>1819</v>
      </c>
      <c r="C77" s="522" t="s">
        <v>1719</v>
      </c>
      <c r="D77" s="522" t="s">
        <v>1720</v>
      </c>
      <c r="E77" s="522" t="s">
        <v>1721</v>
      </c>
      <c r="F77" s="522" t="s">
        <v>1722</v>
      </c>
      <c r="G77" s="522" t="s">
        <v>1723</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1724</v>
      </c>
      <c r="C79" s="527" t="s">
        <v>1719</v>
      </c>
      <c r="D79" s="527" t="s">
        <v>1720</v>
      </c>
      <c r="E79" s="527" t="s">
        <v>1721</v>
      </c>
      <c r="F79" s="527" t="s">
        <v>1722</v>
      </c>
      <c r="G79" s="527" t="s">
        <v>1723</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1725</v>
      </c>
      <c r="C81" s="527" t="s">
        <v>1719</v>
      </c>
      <c r="D81" s="527" t="s">
        <v>1720</v>
      </c>
      <c r="E81" s="527" t="s">
        <v>1721</v>
      </c>
      <c r="F81" s="527" t="s">
        <v>1722</v>
      </c>
      <c r="G81" s="527" t="s">
        <v>1723</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1811</v>
      </c>
      <c r="C83" s="608" t="s">
        <v>1797</v>
      </c>
      <c r="D83" s="608" t="s">
        <v>1798</v>
      </c>
      <c r="E83" s="608" t="s">
        <v>1799</v>
      </c>
      <c r="F83" s="608" t="s">
        <v>1800</v>
      </c>
      <c r="G83" s="608" t="s">
        <v>1801</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1820</v>
      </c>
      <c r="C85" s="527" t="s">
        <v>1719</v>
      </c>
      <c r="D85" s="527" t="s">
        <v>1720</v>
      </c>
      <c r="E85" s="527" t="s">
        <v>1721</v>
      </c>
      <c r="F85" s="527" t="s">
        <v>1722</v>
      </c>
      <c r="G85" s="527" t="s">
        <v>1723</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1821</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1692</v>
      </c>
      <c r="B101" s="477" t="s">
        <v>1734</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29.25" thickTop="1">
      <c r="A103" s="483"/>
      <c r="B103" s="487" t="s">
        <v>1735</v>
      </c>
      <c r="C103" s="527" t="str">
        <f>C104&amp;"(含)"&amp;"-"&amp;D104</f>
        <v>0(含)-200</v>
      </c>
      <c r="D103" s="527" t="str">
        <f t="shared" ref="D103:L103" si="23">D104&amp;"(含)"&amp;"-"&amp;E104</f>
        <v>200(含)-400</v>
      </c>
      <c r="E103" s="527" t="str">
        <f t="shared" si="23"/>
        <v>400(含)-600</v>
      </c>
      <c r="F103" s="527" t="str">
        <f t="shared" si="23"/>
        <v>600(含)-800</v>
      </c>
      <c r="G103" s="527" t="str">
        <f t="shared" si="23"/>
        <v>800(含)-1000</v>
      </c>
      <c r="H103" s="527" t="str">
        <f t="shared" si="23"/>
        <v>1000(含)-1200</v>
      </c>
      <c r="I103" s="527" t="str">
        <f t="shared" si="23"/>
        <v>1200(含)-1400</v>
      </c>
      <c r="J103" s="527" t="str">
        <f t="shared" si="23"/>
        <v>1400(含)-1600</v>
      </c>
      <c r="K103" s="527" t="str">
        <f t="shared" si="23"/>
        <v>1600(含)-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v>200</v>
      </c>
      <c r="E104" s="544">
        <v>400</v>
      </c>
      <c r="F104" s="544">
        <v>600</v>
      </c>
      <c r="G104" s="544">
        <v>800</v>
      </c>
      <c r="H104" s="544">
        <v>1000</v>
      </c>
      <c r="I104" s="544">
        <v>1200</v>
      </c>
      <c r="J104" s="544">
        <v>1400</v>
      </c>
      <c r="K104" s="544">
        <v>1600</v>
      </c>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v>100</v>
      </c>
      <c r="D105" s="485">
        <v>99</v>
      </c>
      <c r="E105" s="509">
        <v>98</v>
      </c>
      <c r="F105" s="485">
        <v>97</v>
      </c>
      <c r="G105" s="509">
        <v>96</v>
      </c>
      <c r="H105" s="485">
        <v>95</v>
      </c>
      <c r="I105" s="509">
        <v>94</v>
      </c>
      <c r="J105" s="485">
        <v>93</v>
      </c>
      <c r="K105" s="509">
        <v>92</v>
      </c>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1736</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1738</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1822</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1739</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1740</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1823</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1806</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1742</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875</v>
      </c>
      <c r="B1" s="713"/>
      <c r="C1" s="1379" t="s">
        <v>3380</v>
      </c>
      <c r="D1" s="1362" t="s">
        <v>43</v>
      </c>
      <c r="E1" s="1363" t="s">
        <v>676</v>
      </c>
      <c r="F1" s="1062">
        <f ca="1">J53</f>
        <v>30.15</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802</v>
      </c>
      <c r="B2" s="3425">
        <f ca="1">ROUND(D2/10000,4)</f>
        <v>2889.9256</v>
      </c>
      <c r="C2" s="1387" t="s">
        <v>877</v>
      </c>
      <c r="D2" s="1471">
        <f ca="1">C40+J29+L46</f>
        <v>28899256</v>
      </c>
      <c r="E2" s="1388" t="s">
        <v>878</v>
      </c>
      <c r="F2" s="1389"/>
      <c r="G2" s="2706"/>
      <c r="H2" s="2695"/>
      <c r="I2" s="2695"/>
      <c r="J2" s="2695"/>
      <c r="K2" s="2696"/>
      <c r="L2" s="2695"/>
      <c r="M2" s="2695"/>
    </row>
    <row r="3" spans="1:37" ht="18" customHeight="1" thickBot="1">
      <c r="A3" s="1390" t="s">
        <v>879</v>
      </c>
      <c r="B3" s="1391">
        <f ca="1">IF(ISERROR(D2/F43),0,ROUND(D2/F43,0))</f>
        <v>42949</v>
      </c>
      <c r="C3" s="1387" t="s">
        <v>880</v>
      </c>
      <c r="D3" s="1387"/>
      <c r="E3" s="1388"/>
      <c r="F3" s="1389"/>
      <c r="G3" s="2706"/>
      <c r="H3" s="683" t="s">
        <v>874</v>
      </c>
      <c r="I3" s="1382"/>
      <c r="J3" s="1382"/>
      <c r="K3" s="1383"/>
      <c r="L3" s="1382"/>
      <c r="M3" s="1382"/>
    </row>
    <row r="4" spans="1:37" ht="18" customHeight="1">
      <c r="A4" s="295" t="s">
        <v>881</v>
      </c>
      <c r="B4" s="296" t="s">
        <v>882</v>
      </c>
      <c r="C4" s="296" t="s">
        <v>883</v>
      </c>
      <c r="D4" s="296" t="s">
        <v>884</v>
      </c>
      <c r="E4" s="297" t="s">
        <v>885</v>
      </c>
      <c r="F4" s="298"/>
      <c r="G4" s="1384"/>
      <c r="H4" s="295" t="s">
        <v>881</v>
      </c>
      <c r="I4" s="296" t="s">
        <v>882</v>
      </c>
      <c r="J4" s="296" t="s">
        <v>883</v>
      </c>
      <c r="K4" s="296" t="s">
        <v>884</v>
      </c>
      <c r="L4" s="297" t="s">
        <v>885</v>
      </c>
      <c r="M4" s="298"/>
    </row>
    <row r="5" spans="1:37" ht="18" customHeight="1">
      <c r="A5" s="299">
        <v>1</v>
      </c>
      <c r="B5" s="300" t="s">
        <v>690</v>
      </c>
      <c r="C5" s="1070">
        <f ca="1">C6+C10+C12</f>
        <v>1991857</v>
      </c>
      <c r="D5" s="1364" t="s">
        <v>887</v>
      </c>
      <c r="E5" s="1071"/>
      <c r="F5" s="1072"/>
      <c r="G5" s="1384"/>
      <c r="H5" s="299">
        <v>1</v>
      </c>
      <c r="I5" s="300" t="s">
        <v>690</v>
      </c>
      <c r="J5" s="1070">
        <f ca="1">J6+J10+J12</f>
        <v>0</v>
      </c>
      <c r="K5" s="1364" t="s">
        <v>887</v>
      </c>
      <c r="L5" s="1071"/>
      <c r="M5" s="1072"/>
    </row>
    <row r="6" spans="1:37" ht="18" customHeight="1">
      <c r="A6" s="1069" t="s">
        <v>398</v>
      </c>
      <c r="B6" s="3670" t="s">
        <v>692</v>
      </c>
      <c r="C6" s="1074">
        <f ca="1">ROUND(F6*F8*F7*(1-F9),0)</f>
        <v>1989370</v>
      </c>
      <c r="D6" s="155" t="s">
        <v>2104</v>
      </c>
      <c r="E6" s="302" t="s">
        <v>694</v>
      </c>
      <c r="F6" s="303">
        <f ca="1">INDIRECT("'数据-取费表'!u"&amp;$G$1)</f>
        <v>9</v>
      </c>
      <c r="G6" s="1384"/>
      <c r="H6" s="1069" t="s">
        <v>398</v>
      </c>
      <c r="I6" s="3670" t="s">
        <v>692</v>
      </c>
      <c r="J6" s="301">
        <f ca="1">ROUND(M6*M8*M7*(1-M9),0)</f>
        <v>0</v>
      </c>
      <c r="K6" s="1376" t="s">
        <v>2105</v>
      </c>
      <c r="L6" s="302" t="s">
        <v>694</v>
      </c>
      <c r="M6" s="303">
        <f ca="1">INDIRECT("'数据-取费表'!z"&amp;$G$1)</f>
        <v>0</v>
      </c>
    </row>
    <row r="7" spans="1:37" ht="18" customHeight="1">
      <c r="A7" s="1073"/>
      <c r="B7" s="3671"/>
      <c r="C7" s="1075"/>
      <c r="D7" s="307"/>
      <c r="E7" s="3470" t="s">
        <v>695</v>
      </c>
      <c r="F7" s="303">
        <f ca="1">IF(INDIRECT("'数据-取费表'!ah"&amp;$G$1)="",INDIRECT("'数据-取费表'!k"&amp;$G$1),INDIRECT("'数据-取费表'!ah"&amp;$G$1))</f>
        <v>672.88</v>
      </c>
      <c r="G7" s="1384"/>
      <c r="H7" s="304"/>
      <c r="I7" s="3671"/>
      <c r="J7" s="306"/>
      <c r="K7" s="307"/>
      <c r="L7" s="302" t="s">
        <v>695</v>
      </c>
      <c r="M7" s="303">
        <f ca="1">F7</f>
        <v>672.88</v>
      </c>
    </row>
    <row r="8" spans="1:37" ht="18" customHeight="1">
      <c r="A8" s="304"/>
      <c r="B8" s="3671"/>
      <c r="C8" s="306"/>
      <c r="D8" s="307"/>
      <c r="E8" s="302" t="s">
        <v>696</v>
      </c>
      <c r="F8" s="303">
        <f ca="1">INDIRECT("'数据-取费表'!ai"&amp;$G$1)</f>
        <v>365</v>
      </c>
      <c r="G8" s="1384"/>
      <c r="H8" s="304"/>
      <c r="I8" s="3671"/>
      <c r="J8" s="306"/>
      <c r="K8" s="307"/>
      <c r="L8" s="302" t="s">
        <v>696</v>
      </c>
      <c r="M8" s="303">
        <f ca="1">INDIRECT("'数据-取费表'!ai"&amp;$G$1)</f>
        <v>365</v>
      </c>
    </row>
    <row r="9" spans="1:37" ht="18" customHeight="1">
      <c r="A9" s="304"/>
      <c r="B9" s="3672"/>
      <c r="C9" s="306"/>
      <c r="D9" s="307"/>
      <c r="E9" s="302" t="s">
        <v>697</v>
      </c>
      <c r="F9" s="312">
        <f ca="1">INDIRECT("'数据-取费表'!w"&amp;$G$1)</f>
        <v>0.1</v>
      </c>
      <c r="G9" s="1384"/>
      <c r="H9" s="304"/>
      <c r="I9" s="3672"/>
      <c r="J9" s="306"/>
      <c r="K9" s="307"/>
      <c r="L9" s="313" t="s">
        <v>697</v>
      </c>
      <c r="M9" s="314">
        <f ca="1">INDIRECT("'数据-取费表'!ab"&amp;$G$1)</f>
        <v>0</v>
      </c>
    </row>
    <row r="10" spans="1:37" ht="18" customHeight="1">
      <c r="A10" s="1069" t="s">
        <v>402</v>
      </c>
      <c r="B10" s="1365" t="s">
        <v>698</v>
      </c>
      <c r="C10" s="316">
        <f ca="1">ROUND(IF(F10="押一",C6/12*F11,IF(F10="押二",C6/12*2*F11,IF(F10="押三",C6/12*3*F11,C11*F11))),0)</f>
        <v>2487</v>
      </c>
      <c r="D10" s="1366" t="s">
        <v>2114</v>
      </c>
      <c r="E10" s="313" t="s">
        <v>699</v>
      </c>
      <c r="F10" s="1116" t="s">
        <v>3389</v>
      </c>
      <c r="G10" s="1384"/>
      <c r="H10" s="1069" t="s">
        <v>402</v>
      </c>
      <c r="I10" s="1365" t="s">
        <v>698</v>
      </c>
      <c r="J10" s="301">
        <f ca="1">ROUND(IF(M10="押一",J6/12*M11,IF(M10="押二",J6/12*2*M11,IF(M10="押三",J6/12*3*M11,J11*M11))),0)</f>
        <v>0</v>
      </c>
      <c r="K10" s="1377" t="s">
        <v>2116</v>
      </c>
      <c r="L10" s="313" t="s">
        <v>699</v>
      </c>
      <c r="M10" s="1116"/>
    </row>
    <row r="11" spans="1:37" ht="18" customHeight="1">
      <c r="A11" s="308"/>
      <c r="B11" s="1367" t="s">
        <v>888</v>
      </c>
      <c r="C11" s="959"/>
      <c r="D11" s="307"/>
      <c r="E11" s="313" t="s">
        <v>700</v>
      </c>
      <c r="F11" s="314">
        <f ca="1">'数据-取费表'!B39</f>
        <v>1.4999999999999999E-2</v>
      </c>
      <c r="G11" s="1384"/>
      <c r="H11" s="1077"/>
      <c r="I11" s="1367" t="s">
        <v>889</v>
      </c>
      <c r="J11" s="959"/>
      <c r="K11" s="684"/>
      <c r="L11" s="313" t="s">
        <v>700</v>
      </c>
      <c r="M11" s="862">
        <f ca="1">'数据-取费表'!B39</f>
        <v>1.4999999999999999E-2</v>
      </c>
    </row>
    <row r="12" spans="1:37" ht="18" customHeight="1" thickBot="1">
      <c r="A12" s="1083" t="s">
        <v>437</v>
      </c>
      <c r="B12" s="1369" t="s">
        <v>701</v>
      </c>
      <c r="C12" s="1084"/>
      <c r="D12" s="1085"/>
      <c r="E12" s="1090"/>
      <c r="F12" s="1086"/>
      <c r="G12" s="1384"/>
      <c r="H12" s="1083" t="s">
        <v>437</v>
      </c>
      <c r="I12" s="1369" t="s">
        <v>701</v>
      </c>
      <c r="J12" s="1084"/>
      <c r="K12" s="1098"/>
      <c r="L12" s="1090"/>
      <c r="M12" s="1099"/>
    </row>
    <row r="13" spans="1:37" ht="18" customHeight="1" thickTop="1">
      <c r="A13" s="1079">
        <v>2</v>
      </c>
      <c r="B13" s="1080" t="s">
        <v>702</v>
      </c>
      <c r="C13" s="310">
        <f ca="1">ROUND(C29*F13,0)</f>
        <v>5454258</v>
      </c>
      <c r="D13" s="3449" t="s">
        <v>703</v>
      </c>
      <c r="E13" s="3449" t="s">
        <v>704</v>
      </c>
      <c r="F13" s="1082">
        <f ca="1">INDIRECT("'数据-取费表'!y"&amp;$G$1)</f>
        <v>0.88</v>
      </c>
      <c r="G13" s="1384"/>
      <c r="H13" s="1079">
        <v>2</v>
      </c>
      <c r="I13" s="1080" t="s">
        <v>702</v>
      </c>
      <c r="J13" s="1068">
        <f ca="1">ROUND(J14*J15,0)</f>
        <v>0</v>
      </c>
      <c r="K13" s="1087" t="s">
        <v>703</v>
      </c>
      <c r="L13" s="1392"/>
      <c r="M13" s="1393"/>
    </row>
    <row r="14" spans="1:37" ht="18" customHeight="1">
      <c r="A14" s="982" t="s">
        <v>397</v>
      </c>
      <c r="B14" s="302" t="s">
        <v>705</v>
      </c>
      <c r="C14" s="318">
        <f ca="1">ROUND(INDIRECT("'数据-取费表'!l"&amp;$G$1)*F43+'数据-取费表'!L14*INDIRECT("'数据-取费表'!S"&amp;$G$1),0)</f>
        <v>4037280</v>
      </c>
      <c r="D14" s="3459" t="s">
        <v>706</v>
      </c>
      <c r="E14" s="3452"/>
      <c r="F14" s="319"/>
      <c r="G14" s="1384"/>
      <c r="H14" s="982" t="s">
        <v>398</v>
      </c>
      <c r="I14" s="302" t="s">
        <v>707</v>
      </c>
      <c r="J14" s="21">
        <f ca="1">C29</f>
        <v>6198021</v>
      </c>
      <c r="K14" s="3468"/>
      <c r="L14" s="807"/>
      <c r="M14" s="808"/>
    </row>
    <row r="15" spans="1:37" s="1397" customFormat="1" ht="18" customHeight="1" thickBot="1">
      <c r="A15" s="982" t="s">
        <v>399</v>
      </c>
      <c r="B15" s="302" t="s">
        <v>708</v>
      </c>
      <c r="C15" s="21">
        <f ca="1">ROUND(C14*F15,0)</f>
        <v>201864</v>
      </c>
      <c r="D15" s="3450" t="s">
        <v>709</v>
      </c>
      <c r="E15" s="3450" t="s">
        <v>710</v>
      </c>
      <c r="F15" s="321">
        <f>'数据-取费表'!B33</f>
        <v>0.05</v>
      </c>
      <c r="G15" s="1396"/>
      <c r="H15" s="1089" t="s">
        <v>402</v>
      </c>
      <c r="I15" s="1090" t="s">
        <v>704</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678</v>
      </c>
      <c r="B16" s="302" t="s">
        <v>711</v>
      </c>
      <c r="C16" s="21">
        <f ca="1">ROUND(INDIRECT("'数据-取费表'!l"&amp;$G$1)*F43*F16,0)</f>
        <v>0</v>
      </c>
      <c r="D16" s="302" t="s">
        <v>709</v>
      </c>
      <c r="E16" s="302" t="s">
        <v>710</v>
      </c>
      <c r="F16" s="322">
        <f ca="1">IF(INDIRECT("'数据-取费表'!c"&amp;$G$1)="住宅",'数据-取费表'!B34,0)</f>
        <v>0</v>
      </c>
      <c r="G16" s="1384"/>
      <c r="H16" s="1079" t="s">
        <v>393</v>
      </c>
      <c r="I16" s="1080" t="s">
        <v>712</v>
      </c>
      <c r="J16" s="310">
        <f ca="1">ROUND(J17+J22+J23+J24,0)</f>
        <v>61980</v>
      </c>
      <c r="K16" s="1087" t="s">
        <v>713</v>
      </c>
      <c r="L16" s="3462"/>
      <c r="M16" s="1072"/>
    </row>
    <row r="17" spans="1:37" s="1397" customFormat="1" ht="18" customHeight="1">
      <c r="A17" s="982" t="s">
        <v>679</v>
      </c>
      <c r="B17" s="302" t="s">
        <v>714</v>
      </c>
      <c r="C17" s="21">
        <f ca="1">ROUND(F17*(F43+INDIRECT("'数据-取费表'!S"&amp;$G$1)),0)</f>
        <v>134576</v>
      </c>
      <c r="D17" s="302" t="s">
        <v>715</v>
      </c>
      <c r="E17" s="302" t="s">
        <v>716</v>
      </c>
      <c r="F17" s="23">
        <f>'数据-取费表'!B35</f>
        <v>200</v>
      </c>
      <c r="G17" s="1396"/>
      <c r="H17" s="982" t="s">
        <v>398</v>
      </c>
      <c r="I17" s="302" t="s">
        <v>717</v>
      </c>
      <c r="J17" s="2316">
        <f ca="1">ROUND(IF(AND(项目基本情况!B11="自然人",项目基本情况!B10="北京市"),J6*M17/(1+'数据-取费表'!C42),J18+J19+J20),0)</f>
        <v>0</v>
      </c>
      <c r="K17" s="3459" t="s">
        <v>718</v>
      </c>
      <c r="L17" s="3457" t="s">
        <v>719</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680</v>
      </c>
      <c r="B18" s="302" t="s">
        <v>720</v>
      </c>
      <c r="C18" s="21">
        <f ca="1">ROUND(C14*F18,0)</f>
        <v>60559</v>
      </c>
      <c r="D18" s="302" t="s">
        <v>709</v>
      </c>
      <c r="E18" s="302" t="s">
        <v>710</v>
      </c>
      <c r="F18" s="322">
        <f>'数据-取费表'!B36</f>
        <v>1.4999999999999999E-2</v>
      </c>
      <c r="G18" s="1396"/>
      <c r="H18" s="982" t="s">
        <v>397</v>
      </c>
      <c r="I18" s="302" t="s">
        <v>721</v>
      </c>
      <c r="J18" s="21">
        <f ca="1">ROUND(J6*M18/(1+'数据-取费表'!C42),0)</f>
        <v>0</v>
      </c>
      <c r="K18" s="3457" t="s">
        <v>722</v>
      </c>
      <c r="L18" s="302" t="s">
        <v>710</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723</v>
      </c>
      <c r="C19" s="21">
        <f ca="1">SUM(C14:C18)</f>
        <v>4434279</v>
      </c>
      <c r="D19" s="131" t="s">
        <v>724</v>
      </c>
      <c r="E19" s="3472"/>
      <c r="F19" s="23"/>
      <c r="G19" s="1384"/>
      <c r="H19" s="982" t="s">
        <v>399</v>
      </c>
      <c r="I19" s="302" t="s">
        <v>725</v>
      </c>
      <c r="J19" s="21">
        <f ca="1">IF(K19="按租金收入计税",ROUND(J6*M19/(1+'数据-取费表'!C42),0),ROUND(C29*M19*0.7,0))</f>
        <v>0</v>
      </c>
      <c r="K19" s="1370" t="s">
        <v>3329</v>
      </c>
      <c r="L19" s="302" t="s">
        <v>710</v>
      </c>
      <c r="M19" s="322">
        <f>IF(K19="按租金收入计税",'数据-取费表'!B51,'数据-取费表'!B50)</f>
        <v>0.12</v>
      </c>
    </row>
    <row r="20" spans="1:37" s="1397" customFormat="1" ht="18" customHeight="1">
      <c r="A20" s="982" t="s">
        <v>402</v>
      </c>
      <c r="B20" s="302" t="s">
        <v>726</v>
      </c>
      <c r="C20" s="21">
        <f ca="1">ROUND(C19*F20,0)</f>
        <v>133028</v>
      </c>
      <c r="D20" s="2428" t="s">
        <v>727</v>
      </c>
      <c r="E20" s="302" t="s">
        <v>710</v>
      </c>
      <c r="F20" s="322">
        <f>'数据-取费表'!B37</f>
        <v>0.03</v>
      </c>
      <c r="G20" s="1396"/>
      <c r="H20" s="982" t="s">
        <v>678</v>
      </c>
      <c r="I20" s="155" t="s">
        <v>728</v>
      </c>
      <c r="J20" s="22">
        <f ca="1">ROUND(M20*M21,0)</f>
        <v>0</v>
      </c>
      <c r="K20" s="324" t="s">
        <v>729</v>
      </c>
      <c r="L20" s="302" t="s">
        <v>730</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731</v>
      </c>
      <c r="C21" s="21" t="s">
        <v>0</v>
      </c>
      <c r="D21" s="2428" t="s">
        <v>732</v>
      </c>
      <c r="E21" s="302" t="s">
        <v>733</v>
      </c>
      <c r="F21" s="322">
        <f>'数据-取费表'!B38</f>
        <v>0.03</v>
      </c>
      <c r="G21" s="1396"/>
      <c r="H21" s="326"/>
      <c r="I21" s="311"/>
      <c r="J21" s="26"/>
      <c r="K21" s="327"/>
      <c r="L21" s="302" t="s">
        <v>734</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681</v>
      </c>
      <c r="B22" s="302" t="s">
        <v>735</v>
      </c>
      <c r="C22" s="21"/>
      <c r="D22" s="131" t="str">
        <f>IF(F23&lt;=1,"单利计息。","复利计息。")&amp;"建造成本、管理费用、销售费用产生的利息。"</f>
        <v>复利计息。建造成本、管理费用、销售费用产生的利息。</v>
      </c>
      <c r="E22" s="3472"/>
      <c r="F22" s="23"/>
      <c r="G22" s="1384"/>
      <c r="H22" s="982" t="s">
        <v>402</v>
      </c>
      <c r="I22" s="302" t="s">
        <v>736</v>
      </c>
      <c r="J22" s="21">
        <f ca="1">ROUND(J14*M22,0)</f>
        <v>61980</v>
      </c>
      <c r="K22" s="3457" t="s">
        <v>737</v>
      </c>
      <c r="L22" s="302" t="s">
        <v>710</v>
      </c>
      <c r="M22" s="328">
        <f ca="1">INDIRECT("'数据-取费表'!Ak"&amp;$G$1)</f>
        <v>0.01</v>
      </c>
    </row>
    <row r="23" spans="1:37" s="1397" customFormat="1" ht="18" customHeight="1">
      <c r="A23" s="982" t="s">
        <v>397</v>
      </c>
      <c r="B23" s="302" t="s">
        <v>738</v>
      </c>
      <c r="C23" s="21">
        <f ca="1">IF('数据-取费表'!B22&lt;=1,ROUND(C19*F24*F23/2,0)+ROUND(C20*F24*F23/2,0),ROUND(C19*(POWER((1+F24),F23/2)-1),0)+ROUND(C20*(POWER((1+F24),F23/2)-1),0))</f>
        <v>157572</v>
      </c>
      <c r="D23" s="329" t="str">
        <f>IF(F23&lt;=1,"(建造成本+管理费用)×利率×(建设周期÷2)","(建造成本+管理费用)×((1+利率)^(建设周期÷2)-1)")</f>
        <v>(建造成本+管理费用)×((1+利率)^(建设周期÷2)-1)</v>
      </c>
      <c r="E23" s="302" t="s">
        <v>739</v>
      </c>
      <c r="F23" s="325">
        <f>'数据-取费表'!B20</f>
        <v>2</v>
      </c>
      <c r="G23" s="1396"/>
      <c r="H23" s="982" t="s">
        <v>437</v>
      </c>
      <c r="I23" s="302" t="s">
        <v>740</v>
      </c>
      <c r="J23" s="21">
        <f ca="1">ROUND(J13*M23,0)</f>
        <v>0</v>
      </c>
      <c r="K23" s="3457" t="s">
        <v>741</v>
      </c>
      <c r="L23" s="302" t="s">
        <v>710</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399</v>
      </c>
      <c r="B24" s="302" t="s">
        <v>744</v>
      </c>
      <c r="C24" s="21">
        <f ca="1">ROUND(IF('数据-取费表'!B22&lt;=1,F21*F24*F23/2,F21*(POWER((1+F24),F23/2)-1)),4)</f>
        <v>1E-3</v>
      </c>
      <c r="D24" s="329" t="str">
        <f>IF(F23&lt;=1,"销售费用×利率×(建设周期÷2)","销售费用×((1+利率)^(建设周期÷2)-1)")</f>
        <v>销售费用×((1+利率)^(建设周期÷2)-1)</v>
      </c>
      <c r="E24" s="302" t="s">
        <v>745</v>
      </c>
      <c r="F24" s="331">
        <f ca="1">'数据-取费表'!B40</f>
        <v>3.4500000000000003E-2</v>
      </c>
      <c r="G24" s="1396"/>
      <c r="H24" s="1089" t="s">
        <v>681</v>
      </c>
      <c r="I24" s="1090" t="s">
        <v>726</v>
      </c>
      <c r="J24" s="1091">
        <f ca="1">ROUND(J5*M24,0)</f>
        <v>0</v>
      </c>
      <c r="K24" s="1092" t="s">
        <v>746</v>
      </c>
      <c r="L24" s="1090" t="s">
        <v>710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747</v>
      </c>
      <c r="B25" s="302" t="s">
        <v>748</v>
      </c>
      <c r="C25" s="21"/>
      <c r="D25" s="131" t="s">
        <v>749</v>
      </c>
      <c r="E25" s="3472"/>
      <c r="F25" s="23"/>
      <c r="G25" s="1384"/>
      <c r="H25" s="1079" t="s">
        <v>394</v>
      </c>
      <c r="I25" s="1094" t="s">
        <v>750</v>
      </c>
      <c r="J25" s="310">
        <f ca="1">J5-J16</f>
        <v>-61980</v>
      </c>
      <c r="K25" s="1095" t="s">
        <v>751</v>
      </c>
      <c r="L25" s="1096"/>
      <c r="M25" s="1097"/>
    </row>
    <row r="26" spans="1:37" ht="18" customHeight="1">
      <c r="A26" s="982" t="s">
        <v>397</v>
      </c>
      <c r="B26" s="302" t="s">
        <v>752</v>
      </c>
      <c r="C26" s="21">
        <f ca="1">ROUND((C19+C20)*F26,0)</f>
        <v>913461</v>
      </c>
      <c r="D26" s="2428" t="s">
        <v>753</v>
      </c>
      <c r="E26" s="313" t="s">
        <v>754</v>
      </c>
      <c r="F26" s="312">
        <f ca="1">INDIRECT("'数据-取费表'!q"&amp;$G$1)</f>
        <v>0.2</v>
      </c>
      <c r="G26" s="1384"/>
      <c r="H26" s="299" t="s">
        <v>395</v>
      </c>
      <c r="I26" s="300" t="s">
        <v>755</v>
      </c>
      <c r="J26" s="301">
        <f ca="1">IF(J5&lt;&gt;0,ROUND(J25*(1-((1+M28)/(1+M26))^M27)/(M26-M28),0),0)</f>
        <v>0</v>
      </c>
      <c r="K26" s="324" t="s">
        <v>756</v>
      </c>
      <c r="L26" s="302" t="s">
        <v>757</v>
      </c>
      <c r="M26" s="312">
        <f ca="1">INDIRECT("'数据-取费表'!I"&amp;$G$1)</f>
        <v>5.5E-2</v>
      </c>
    </row>
    <row r="27" spans="1:37" ht="18" customHeight="1">
      <c r="A27" s="982" t="s">
        <v>399</v>
      </c>
      <c r="B27" s="302" t="s">
        <v>758</v>
      </c>
      <c r="C27" s="21">
        <f ca="1">ROUND(F21*F26,4)</f>
        <v>6.0000000000000001E-3</v>
      </c>
      <c r="D27" s="2428" t="s">
        <v>759</v>
      </c>
      <c r="E27" s="3450"/>
      <c r="F27" s="321"/>
      <c r="G27" s="1384"/>
      <c r="H27" s="304"/>
      <c r="I27" s="305"/>
      <c r="J27" s="306"/>
      <c r="K27" s="332" t="s">
        <v>760</v>
      </c>
      <c r="L27" s="302" t="s">
        <v>761</v>
      </c>
      <c r="M27" s="333">
        <f ca="1">INDIRECT("'数据-取费表'!ag"&amp;$G$1)</f>
        <v>0</v>
      </c>
    </row>
    <row r="28" spans="1:37" s="1397" customFormat="1" ht="18" customHeight="1">
      <c r="A28" s="982" t="s">
        <v>400</v>
      </c>
      <c r="B28" s="302" t="s">
        <v>762</v>
      </c>
      <c r="C28" s="21">
        <f>ROUND(F28/(1+'数据-取费表'!C42),4)</f>
        <v>5.33E-2</v>
      </c>
      <c r="D28" s="2428" t="s">
        <v>763</v>
      </c>
      <c r="E28" s="302" t="s">
        <v>710</v>
      </c>
      <c r="F28" s="322">
        <f>'数据-取费表'!B41</f>
        <v>5.6000000000000001E-2</v>
      </c>
      <c r="G28" s="1396"/>
      <c r="H28" s="308"/>
      <c r="I28" s="309"/>
      <c r="J28" s="310"/>
      <c r="K28" s="327"/>
      <c r="L28" s="302" t="s">
        <v>764</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765</v>
      </c>
      <c r="C29" s="1091">
        <f ca="1">ROUND((C19+C20+C23+C26)/(1-F21-C24-C27-C28),0)</f>
        <v>6198021</v>
      </c>
      <c r="D29" s="1092"/>
      <c r="E29" s="1090"/>
      <c r="F29" s="1093"/>
      <c r="G29" s="1396"/>
      <c r="H29" s="334" t="s">
        <v>396</v>
      </c>
      <c r="I29" s="335" t="s">
        <v>766</v>
      </c>
      <c r="J29" s="336">
        <f ca="1">ROUND(J26/(1+F40)^F41,0)</f>
        <v>0</v>
      </c>
      <c r="K29" s="337" t="s">
        <v>767</v>
      </c>
      <c r="L29" s="338"/>
      <c r="M29" s="339">
        <f ca="1">INDIRECT("'数据-取费表'!k"&amp;$G$1)</f>
        <v>672.88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712</v>
      </c>
      <c r="C30" s="310">
        <f ca="1">ROUND(C31+C36+C37+C38,0)</f>
        <v>420810</v>
      </c>
      <c r="D30" s="1087" t="s">
        <v>713</v>
      </c>
      <c r="E30" s="3462"/>
      <c r="F30" s="1072"/>
      <c r="G30" s="1384"/>
      <c r="H30" s="2697"/>
      <c r="I30" s="1398"/>
      <c r="J30" s="1399"/>
      <c r="K30" s="2475"/>
      <c r="L30" s="2698"/>
      <c r="M30" s="2699"/>
    </row>
    <row r="31" spans="1:37" ht="18" customHeight="1">
      <c r="A31" s="982" t="s">
        <v>398</v>
      </c>
      <c r="B31" s="302" t="s">
        <v>717</v>
      </c>
      <c r="C31" s="2316">
        <f ca="1">ROUND(IF(AND(项目基本情况!B11="自然人",项目基本情况!B10="北京市"),C6*F31/(1+'数据-取费表'!C42),C32+C33+C34),0)</f>
        <v>333457</v>
      </c>
      <c r="D31" s="3459" t="s">
        <v>718</v>
      </c>
      <c r="E31" s="3457" t="s">
        <v>768</v>
      </c>
      <c r="F31" s="2315" t="str">
        <f>IF(项目基本情况!B11="企业","——",IF(M47="住宅",IF(F6*F7*F8/12/(1+'数据-取费表'!F30)&gt;100000,4%,2.5%),IF(F6*F7*F8/12/(1+'数据-取费表'!F30)&gt;100000,12%,7%)))</f>
        <v>——</v>
      </c>
      <c r="G31" s="1384"/>
      <c r="H31" s="2808" t="s">
        <v>2299</v>
      </c>
      <c r="I31" s="1398"/>
      <c r="J31" s="1399"/>
      <c r="K31" s="2475"/>
      <c r="L31" s="2698"/>
      <c r="M31" s="2699"/>
    </row>
    <row r="32" spans="1:37" ht="18" customHeight="1">
      <c r="A32" s="982" t="s">
        <v>397</v>
      </c>
      <c r="B32" s="302" t="s">
        <v>721</v>
      </c>
      <c r="C32" s="21">
        <f ca="1">IF(项目基本情况!B11="自然人","——",ROUND(C6*F32/(1+'数据-取费表'!C42),0))</f>
        <v>106100</v>
      </c>
      <c r="D32" s="3457" t="s">
        <v>722</v>
      </c>
      <c r="E32" s="302" t="s">
        <v>710</v>
      </c>
      <c r="F32" s="331">
        <f>'数据-取费表'!B41</f>
        <v>5.6000000000000001E-2</v>
      </c>
      <c r="G32" s="1384"/>
      <c r="H32" s="2697"/>
      <c r="I32" s="1398"/>
      <c r="J32" s="1399"/>
      <c r="K32" s="2475"/>
      <c r="L32" s="2698"/>
      <c r="M32" s="2699"/>
    </row>
    <row r="33" spans="1:18" ht="18" customHeight="1">
      <c r="A33" s="982" t="s">
        <v>399</v>
      </c>
      <c r="B33" s="302" t="s">
        <v>725</v>
      </c>
      <c r="C33" s="21">
        <f ca="1">IF(项目基本情况!B11="自然人","——",IF(D33="按租金收入计税",ROUND(C6*F33/(1+'数据-取费表'!C42),0),IF(D33="按房产原值计税",ROUND(C29*F33*0.7,0),INDIRECT("'数据-取费表'!Aj"&amp;$G$1))))</f>
        <v>227357</v>
      </c>
      <c r="D33" s="1370" t="s">
        <v>3329</v>
      </c>
      <c r="E33" s="302" t="s">
        <v>710</v>
      </c>
      <c r="F33" s="322">
        <f>IF(D33="按票据","——",IF(D33="按租金收入计税",'数据-取费表'!B51,'数据-取费表'!B50))</f>
        <v>0.12</v>
      </c>
      <c r="G33" s="1384"/>
      <c r="H33" s="2700"/>
      <c r="I33" s="1398"/>
      <c r="J33" s="1399"/>
      <c r="K33" s="2701"/>
      <c r="L33" s="2700"/>
      <c r="M33" s="2700"/>
    </row>
    <row r="34" spans="1:18" ht="18" customHeight="1">
      <c r="A34" s="1069" t="s">
        <v>678</v>
      </c>
      <c r="B34" s="155" t="s">
        <v>728</v>
      </c>
      <c r="C34" s="22">
        <f ca="1">IF(项目基本情况!B11="自然人","——",ROUND(F34*F35,0))</f>
        <v>0</v>
      </c>
      <c r="D34" s="324" t="s">
        <v>729</v>
      </c>
      <c r="E34" s="302" t="s">
        <v>730</v>
      </c>
      <c r="F34" s="325">
        <f>'数据-取费表'!B52</f>
        <v>0</v>
      </c>
      <c r="G34" s="1384"/>
      <c r="H34" s="2697"/>
      <c r="I34" s="1398"/>
      <c r="J34" s="1399"/>
      <c r="K34" s="2702"/>
      <c r="L34" s="2703"/>
      <c r="M34" s="2703"/>
    </row>
    <row r="35" spans="1:18" ht="18" customHeight="1">
      <c r="A35" s="1103"/>
      <c r="B35" s="1101"/>
      <c r="C35" s="26"/>
      <c r="D35" s="327"/>
      <c r="E35" s="302" t="s">
        <v>734</v>
      </c>
      <c r="F35" s="303">
        <f ca="1">INDIRECT("'数据-取费表'!r"&amp;$G$1)</f>
        <v>0</v>
      </c>
      <c r="G35" s="1384"/>
      <c r="H35" s="2697"/>
      <c r="I35" s="1398"/>
      <c r="J35" s="1399"/>
      <c r="K35" s="2701"/>
      <c r="L35" s="2700"/>
      <c r="M35" s="2700"/>
    </row>
    <row r="36" spans="1:18" ht="18" customHeight="1">
      <c r="A36" s="1102" t="s">
        <v>402</v>
      </c>
      <c r="B36" s="302" t="s">
        <v>736</v>
      </c>
      <c r="C36" s="21">
        <f ca="1">ROUND(C29*F36,0)</f>
        <v>61980</v>
      </c>
      <c r="D36" s="3457" t="s">
        <v>769</v>
      </c>
      <c r="E36" s="302" t="s">
        <v>710</v>
      </c>
      <c r="F36" s="328">
        <f ca="1">INDIRECT("'数据-取费表'!Ak"&amp;$G$1)</f>
        <v>0.01</v>
      </c>
      <c r="G36" s="1384"/>
      <c r="H36" s="2700"/>
      <c r="I36" s="1398"/>
      <c r="J36" s="1399"/>
      <c r="K36" s="2544"/>
      <c r="L36" s="2700"/>
      <c r="M36" s="2700"/>
    </row>
    <row r="37" spans="1:18" ht="18" customHeight="1">
      <c r="A37" s="982" t="s">
        <v>437</v>
      </c>
      <c r="B37" s="302" t="s">
        <v>740</v>
      </c>
      <c r="C37" s="21">
        <f ca="1">ROUND(C13*F37,0)</f>
        <v>5454</v>
      </c>
      <c r="D37" s="3457" t="s">
        <v>741</v>
      </c>
      <c r="E37" s="302" t="s">
        <v>710</v>
      </c>
      <c r="F37" s="330">
        <f ca="1">INDIRECT("'数据-取费表'!Al"&amp;$G$1)</f>
        <v>1E-3</v>
      </c>
      <c r="G37" s="1384"/>
      <c r="H37" s="2700"/>
      <c r="I37" s="1398"/>
      <c r="J37" s="1399"/>
      <c r="K37" s="2544"/>
      <c r="L37" s="2700"/>
      <c r="M37" s="2700"/>
    </row>
    <row r="38" spans="1:18" ht="18" customHeight="1" thickBot="1">
      <c r="A38" s="1089" t="s">
        <v>681</v>
      </c>
      <c r="B38" s="1090" t="s">
        <v>726</v>
      </c>
      <c r="C38" s="1091">
        <f ca="1">ROUND(C5*F38,0)</f>
        <v>19919</v>
      </c>
      <c r="D38" s="1092" t="s">
        <v>746</v>
      </c>
      <c r="E38" s="1090" t="s">
        <v>710</v>
      </c>
      <c r="F38" s="1086">
        <f ca="1">INDIRECT("'数据-取费表'!Am"&amp;$G$1)</f>
        <v>0.01</v>
      </c>
      <c r="G38" s="1384"/>
      <c r="H38" s="2700"/>
      <c r="I38" s="1398"/>
      <c r="J38" s="1399"/>
      <c r="K38" s="2704"/>
      <c r="L38" s="2700"/>
      <c r="M38" s="2700"/>
    </row>
    <row r="39" spans="1:18" ht="24.6" customHeight="1" thickTop="1">
      <c r="A39" s="1079" t="s">
        <v>394</v>
      </c>
      <c r="B39" s="1094" t="s">
        <v>750</v>
      </c>
      <c r="C39" s="310">
        <f ca="1">C5-C30</f>
        <v>1571047</v>
      </c>
      <c r="D39" s="1095" t="s">
        <v>771</v>
      </c>
      <c r="E39" s="1096"/>
      <c r="F39" s="1097"/>
      <c r="G39" s="1384"/>
      <c r="H39" s="2700"/>
      <c r="I39" s="1398">
        <f ca="1">C39/C6</f>
        <v>0.78972086640494232</v>
      </c>
      <c r="J39" s="1399"/>
      <c r="K39" s="2704"/>
      <c r="L39" s="2700"/>
      <c r="M39" s="2700"/>
    </row>
    <row r="40" spans="1:18" ht="18" customHeight="1">
      <c r="A40" s="299" t="s">
        <v>395</v>
      </c>
      <c r="B40" s="300" t="s">
        <v>772</v>
      </c>
      <c r="C40" s="301">
        <f ca="1">ROUND(C39*(1-((1+F42)/(1+F40))^F41)/(F40-F42),0)</f>
        <v>28655707</v>
      </c>
      <c r="D40" s="324" t="s">
        <v>756</v>
      </c>
      <c r="E40" s="302" t="s">
        <v>757</v>
      </c>
      <c r="F40" s="312">
        <f ca="1">INDIRECT("'数据-取费表'!I"&amp;$G$1)</f>
        <v>5.5E-2</v>
      </c>
      <c r="G40" s="1384"/>
      <c r="H40" s="1461"/>
      <c r="I40" s="1398"/>
      <c r="J40" s="1399"/>
      <c r="K40" s="2704"/>
      <c r="L40" s="1461"/>
      <c r="M40" s="1461"/>
    </row>
    <row r="41" spans="1:18" ht="18" customHeight="1">
      <c r="A41" s="304"/>
      <c r="B41" s="305"/>
      <c r="C41" s="306"/>
      <c r="D41" s="332" t="s">
        <v>773</v>
      </c>
      <c r="E41" s="302" t="s">
        <v>761</v>
      </c>
      <c r="F41" s="333">
        <f ca="1">IF(INDIRECT("'数据-取费表'!af"&amp;$G$1)=0,INDIRECT("'数据-取费表'!ae"&amp;$G$1),INDIRECT("'数据-取费表'!af"&amp;$G$1))</f>
        <v>30.15</v>
      </c>
      <c r="G41" s="1384"/>
      <c r="H41" s="1191"/>
      <c r="I41" s="1398"/>
      <c r="J41" s="1399"/>
      <c r="K41" s="2544"/>
      <c r="L41" s="1191"/>
      <c r="M41" s="1191"/>
    </row>
    <row r="42" spans="1:18" ht="18" customHeight="1">
      <c r="A42" s="308"/>
      <c r="B42" s="309"/>
      <c r="C42" s="310"/>
      <c r="D42" s="327"/>
      <c r="E42" s="302" t="s">
        <v>764</v>
      </c>
      <c r="F42" s="312">
        <f ca="1">INDIRECT("'数据-取费表'!v"&amp;$G$1)</f>
        <v>0.02</v>
      </c>
      <c r="G42" s="1384"/>
      <c r="H42" s="1191"/>
      <c r="I42" s="1398"/>
      <c r="J42" s="1399"/>
      <c r="K42" s="2544"/>
      <c r="L42" s="1191"/>
      <c r="M42" s="1191"/>
    </row>
    <row r="43" spans="1:18" ht="18" customHeight="1" thickBot="1">
      <c r="A43" s="334" t="s">
        <v>396</v>
      </c>
      <c r="B43" s="335" t="s">
        <v>774</v>
      </c>
      <c r="C43" s="336">
        <f ca="1">ROUND(C40/F43,0)</f>
        <v>42587</v>
      </c>
      <c r="D43" s="337" t="s">
        <v>775</v>
      </c>
      <c r="E43" s="338" t="s">
        <v>776</v>
      </c>
      <c r="F43" s="339">
        <f ca="1">INDIRECT("'数据-取费表'!k"&amp;$G$1)</f>
        <v>672.88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3345</v>
      </c>
      <c r="B45" s="1400"/>
      <c r="C45" s="1472">
        <f ca="1">ROUND((C68-C40)/10000,4)</f>
        <v>-2963.7743</v>
      </c>
      <c r="D45" s="3432" t="s">
        <v>3346</v>
      </c>
      <c r="E45" s="1400"/>
      <c r="F45" s="1400"/>
      <c r="O45" s="1403" t="s">
        <v>806</v>
      </c>
      <c r="P45" s="1461"/>
      <c r="Q45" s="1461"/>
      <c r="R45" s="1461"/>
    </row>
    <row r="46" spans="1:18" s="1384" customFormat="1" ht="13.5" thickBot="1">
      <c r="A46" s="1404" t="s">
        <v>807</v>
      </c>
      <c r="C46" s="1405">
        <f ca="1">ROUND(C45,0)</f>
        <v>-2964</v>
      </c>
      <c r="D46" s="1406" t="str">
        <f>C2</f>
        <v>万元</v>
      </c>
      <c r="I46" s="1407" t="s">
        <v>808</v>
      </c>
      <c r="J46" s="1408"/>
      <c r="K46" s="1409"/>
      <c r="L46" s="1410">
        <f ca="1">IF(M47="住宅",0,IF(L48&gt;J51,L60,J60))</f>
        <v>243549</v>
      </c>
      <c r="O46" s="1411" t="s">
        <v>809</v>
      </c>
      <c r="P46" s="1412" t="s">
        <v>810</v>
      </c>
      <c r="Q46" s="1413" t="s">
        <v>811</v>
      </c>
      <c r="R46" s="1413" t="s">
        <v>812</v>
      </c>
    </row>
    <row r="47" spans="1:18" s="1384" customFormat="1" ht="13.5" thickBot="1">
      <c r="A47" s="946" t="s">
        <v>685</v>
      </c>
      <c r="B47" s="978" t="s">
        <v>686</v>
      </c>
      <c r="C47" s="978" t="s">
        <v>687</v>
      </c>
      <c r="D47" s="978" t="s">
        <v>688</v>
      </c>
      <c r="E47" s="1058" t="s">
        <v>689</v>
      </c>
      <c r="F47" s="1059"/>
      <c r="G47" s="722"/>
      <c r="I47" s="1414" t="s">
        <v>813</v>
      </c>
      <c r="J47" s="1415" t="s">
        <v>3390</v>
      </c>
      <c r="K47" s="1416" t="s">
        <v>814</v>
      </c>
      <c r="L47" s="1417">
        <f ca="1">INDIRECT("'数据-取费表'!d"&amp;$G$1)</f>
        <v>50</v>
      </c>
      <c r="M47" s="1380" t="str">
        <f>IF(ISNUMBER(FIND("住宅",C1)),"住宅","非住宅")</f>
        <v>非住宅</v>
      </c>
      <c r="O47" s="1418" t="s">
        <v>403</v>
      </c>
      <c r="P47" s="1419" t="s">
        <v>815</v>
      </c>
      <c r="Q47" s="1420">
        <f ca="1">C40+J29</f>
        <v>28655707</v>
      </c>
      <c r="R47" s="1420" t="s">
        <v>816</v>
      </c>
    </row>
    <row r="48" spans="1:18" s="1384" customFormat="1" ht="28.5" thickBot="1">
      <c r="A48" s="1110" t="s">
        <v>438</v>
      </c>
      <c r="B48" s="300" t="s">
        <v>690</v>
      </c>
      <c r="C48" s="3471">
        <f ca="1">C49+C53+C55</f>
        <v>0</v>
      </c>
      <c r="D48" s="1112"/>
      <c r="E48" s="1113"/>
      <c r="F48" s="962"/>
      <c r="G48" s="722"/>
      <c r="H48" s="723"/>
      <c r="I48" s="1421" t="s">
        <v>817</v>
      </c>
      <c r="J48" s="1422" t="s">
        <v>3391</v>
      </c>
      <c r="K48" s="1423" t="s">
        <v>818</v>
      </c>
      <c r="L48" s="1424">
        <f ca="1">INDIRECT("'数据-取费表'!f"&amp;$G$1)</f>
        <v>30.15</v>
      </c>
      <c r="O48" s="1418" t="s">
        <v>404</v>
      </c>
      <c r="P48" s="1419" t="s">
        <v>819</v>
      </c>
      <c r="Q48" s="1420">
        <f ca="1">J60</f>
        <v>243549</v>
      </c>
      <c r="R48" s="1420" t="s">
        <v>820</v>
      </c>
    </row>
    <row r="49" spans="1:18" s="1384" customFormat="1" ht="13.5" thickBot="1">
      <c r="A49" s="975" t="s">
        <v>439</v>
      </c>
      <c r="B49" s="1371" t="s">
        <v>777</v>
      </c>
      <c r="C49" s="1114">
        <f ca="1">ROUND(F49*F51*F50*(1-F52),0)</f>
        <v>0</v>
      </c>
      <c r="D49" s="1055" t="s">
        <v>693</v>
      </c>
      <c r="E49" s="1372" t="s">
        <v>778</v>
      </c>
      <c r="F49" s="1060"/>
      <c r="G49" s="1425"/>
      <c r="H49" s="723"/>
      <c r="I49" s="1421" t="s">
        <v>821</v>
      </c>
      <c r="J49" s="1426">
        <v>2016</v>
      </c>
      <c r="K49" s="1423" t="s">
        <v>822</v>
      </c>
      <c r="L49" s="1427"/>
      <c r="O49" s="1428" t="s">
        <v>405</v>
      </c>
      <c r="P49" s="1419" t="s">
        <v>823</v>
      </c>
      <c r="Q49" s="1420">
        <f ca="1">C29</f>
        <v>6198021</v>
      </c>
      <c r="R49" s="1420" t="s">
        <v>816</v>
      </c>
    </row>
    <row r="50" spans="1:18" s="1384" customFormat="1" ht="13.5" thickBot="1">
      <c r="A50" s="976"/>
      <c r="B50" s="979"/>
      <c r="C50" s="980"/>
      <c r="D50" s="953"/>
      <c r="E50" s="1056" t="s">
        <v>695</v>
      </c>
      <c r="F50" s="1057">
        <f ca="1">F7</f>
        <v>672.88</v>
      </c>
      <c r="H50" s="723"/>
      <c r="I50" s="1421" t="s">
        <v>824</v>
      </c>
      <c r="J50" s="1429">
        <f>SUMPRODUCT((I63:I65=J47)*(J62:L62=J48)*(J63:L65))</f>
        <v>60</v>
      </c>
      <c r="K50" s="1423" t="s">
        <v>825</v>
      </c>
      <c r="L50" s="1427"/>
      <c r="M50" s="1430"/>
      <c r="O50" s="1428" t="s">
        <v>406</v>
      </c>
      <c r="P50" s="1419" t="s">
        <v>826</v>
      </c>
      <c r="Q50" s="1431">
        <f ca="1">J58</f>
        <v>0.4</v>
      </c>
      <c r="R50" s="1420"/>
    </row>
    <row r="51" spans="1:18" s="1384" customFormat="1" ht="13.5" thickBot="1">
      <c r="A51" s="977"/>
      <c r="B51" s="979"/>
      <c r="C51" s="980"/>
      <c r="D51" s="953"/>
      <c r="E51" s="981" t="s">
        <v>696</v>
      </c>
      <c r="F51" s="303">
        <f ca="1">F8</f>
        <v>365</v>
      </c>
      <c r="I51" s="1432" t="s">
        <v>827</v>
      </c>
      <c r="J51" s="1433">
        <f>IF(J49="",J50,J49+J50-YEAR('数据-取费表'!B2))</f>
        <v>52</v>
      </c>
      <c r="K51" s="1434" t="s">
        <v>828</v>
      </c>
      <c r="L51" s="1435">
        <f ca="1">ROUND(-PV(INDIRECT("'数据-取费表'!h"&amp;$G$1),J51,(C39-C13*C76),0),0)</f>
        <v>21903674</v>
      </c>
      <c r="M51" s="1436"/>
      <c r="O51" s="1428" t="s">
        <v>407</v>
      </c>
      <c r="P51" s="1419" t="s">
        <v>829</v>
      </c>
      <c r="Q51" s="1431">
        <f>J52</f>
        <v>0.08</v>
      </c>
      <c r="R51" s="1420"/>
    </row>
    <row r="52" spans="1:18" s="1384" customFormat="1" ht="13.5" thickBot="1">
      <c r="A52" s="977"/>
      <c r="B52" s="979"/>
      <c r="C52" s="980"/>
      <c r="D52" s="953"/>
      <c r="E52" s="981" t="s">
        <v>697</v>
      </c>
      <c r="F52" s="1054"/>
      <c r="I52" s="1437" t="s">
        <v>830</v>
      </c>
      <c r="J52" s="1438">
        <v>0.08</v>
      </c>
      <c r="K52" s="1437" t="s">
        <v>831</v>
      </c>
      <c r="L52" s="1438"/>
      <c r="O52" s="1428" t="s">
        <v>408</v>
      </c>
      <c r="P52" s="1419" t="s">
        <v>832</v>
      </c>
      <c r="Q52" s="1420">
        <f ca="1">J53</f>
        <v>30.15</v>
      </c>
      <c r="R52" s="1420" t="s">
        <v>833</v>
      </c>
    </row>
    <row r="53" spans="1:18" s="1384" customFormat="1" ht="30.75" customHeight="1" thickBot="1">
      <c r="A53" s="1111" t="s">
        <v>440</v>
      </c>
      <c r="B53" s="2428" t="s">
        <v>698</v>
      </c>
      <c r="C53" s="316">
        <f ca="1">ROUND(IF(F53="押一",C49/12*F11,IF(F53="押二",C49/12*2*F11,IF(F53="押三",C49/12*3*F11,C54*F11))),0)</f>
        <v>0</v>
      </c>
      <c r="D53" s="1366" t="s">
        <v>2117</v>
      </c>
      <c r="E53" s="313" t="s">
        <v>699</v>
      </c>
      <c r="F53" s="1116"/>
      <c r="I53" s="1439" t="s">
        <v>834</v>
      </c>
      <c r="J53" s="2168">
        <f ca="1">IF(M47="住宅",IF(D1="——",MAX(J51,L48),MAX(J51,L48-'数据-取费表'!B24)),IF(D1="——",MIN(J51,L48),MIN(J51,L48-'数据-取费表'!B24)))</f>
        <v>30.15</v>
      </c>
      <c r="K53" s="3668" t="s">
        <v>835</v>
      </c>
      <c r="L53" s="3669"/>
      <c r="O53" s="1418" t="s">
        <v>409</v>
      </c>
      <c r="P53" s="1419" t="s">
        <v>836</v>
      </c>
      <c r="Q53" s="1420">
        <f ca="1">Q47+Q48</f>
        <v>28899256</v>
      </c>
      <c r="R53" s="1420" t="s">
        <v>410</v>
      </c>
    </row>
    <row r="54" spans="1:18" s="1384" customFormat="1" ht="13.5" thickBot="1">
      <c r="A54" s="975"/>
      <c r="B54" s="1473" t="s">
        <v>889</v>
      </c>
      <c r="C54" s="959"/>
      <c r="D54" s="1366"/>
      <c r="E54" s="346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837</v>
      </c>
      <c r="P54" s="1381"/>
      <c r="Q54" s="1381"/>
      <c r="R54" s="1381"/>
    </row>
    <row r="55" spans="1:18" s="1384" customFormat="1" ht="13.5" thickBot="1">
      <c r="A55" s="1083" t="s">
        <v>437</v>
      </c>
      <c r="B55" s="1369" t="s">
        <v>701</v>
      </c>
      <c r="C55" s="1084"/>
      <c r="D55" s="1366"/>
      <c r="E55" s="3464"/>
      <c r="F55" s="1440"/>
      <c r="I55" s="1443" t="s">
        <v>838</v>
      </c>
      <c r="J55" s="1444">
        <f ca="1">ROUND(IF(J47="钢混",J57/J50,1-(1-2%)*(J50-J57)/J50),3)</f>
        <v>0.36399999999999999</v>
      </c>
      <c r="K55" s="1445" t="s">
        <v>839</v>
      </c>
      <c r="L55" s="1446"/>
      <c r="O55" s="1411" t="s">
        <v>809</v>
      </c>
      <c r="P55" s="1412" t="s">
        <v>810</v>
      </c>
      <c r="Q55" s="1413" t="s">
        <v>811</v>
      </c>
      <c r="R55" s="1413" t="s">
        <v>812</v>
      </c>
    </row>
    <row r="56" spans="1:18" s="1384" customFormat="1" ht="36" customHeight="1" thickTop="1" thickBot="1">
      <c r="A56" s="957">
        <v>2</v>
      </c>
      <c r="B56" s="958" t="s">
        <v>702</v>
      </c>
      <c r="C56" s="232">
        <f ca="1">C13</f>
        <v>5454258</v>
      </c>
      <c r="D56" s="1447"/>
      <c r="E56" s="1448"/>
      <c r="F56" s="1440"/>
      <c r="I56" s="1449" t="s">
        <v>840</v>
      </c>
      <c r="J56" s="1450"/>
      <c r="K56" s="1421" t="s">
        <v>841</v>
      </c>
      <c r="L56" s="1424" t="str">
        <f ca="1">IF(L48&lt;J51,"——",L48-J51)</f>
        <v>——</v>
      </c>
      <c r="O56" s="1418" t="s">
        <v>403</v>
      </c>
      <c r="P56" s="1419" t="s">
        <v>815</v>
      </c>
      <c r="Q56" s="1420">
        <f ca="1">C40+J29</f>
        <v>28655707</v>
      </c>
      <c r="R56" s="1420" t="s">
        <v>816</v>
      </c>
    </row>
    <row r="57" spans="1:18" s="1384" customFormat="1" ht="24.75" thickBot="1">
      <c r="A57" s="1451"/>
      <c r="B57" s="950" t="s">
        <v>765</v>
      </c>
      <c r="C57" s="238">
        <f ca="1">C29</f>
        <v>6198021</v>
      </c>
      <c r="D57" s="1452"/>
      <c r="E57" s="1453"/>
      <c r="F57" s="1454"/>
      <c r="I57" s="1455" t="s">
        <v>842</v>
      </c>
      <c r="J57" s="1456">
        <f ca="1">IF(OR(M47="住宅",J51&lt;L48,J56="是"),"——",J51-L48)</f>
        <v>21.85</v>
      </c>
      <c r="K57" s="1421" t="s">
        <v>890</v>
      </c>
      <c r="L57" s="1424" t="str">
        <f ca="1">IF(L48&lt;J51,"——",IF(L55="比较法",L49,IF(L55="基准地价",L50,L51)))</f>
        <v>——</v>
      </c>
      <c r="O57" s="1418" t="s">
        <v>404</v>
      </c>
      <c r="P57" s="1419" t="s">
        <v>891</v>
      </c>
      <c r="Q57" s="1420">
        <f ca="1">L60</f>
        <v>0</v>
      </c>
      <c r="R57" s="1420" t="s">
        <v>892</v>
      </c>
    </row>
    <row r="58" spans="1:18" s="1384" customFormat="1" ht="24.75" thickBot="1">
      <c r="A58" s="315" t="s">
        <v>393</v>
      </c>
      <c r="B58" s="958" t="s">
        <v>712</v>
      </c>
      <c r="C58" s="316">
        <f ca="1">ROUND(C59+C64+C65+C66,0)</f>
        <v>67434</v>
      </c>
      <c r="D58" s="960" t="s">
        <v>713</v>
      </c>
      <c r="E58" s="961"/>
      <c r="F58" s="962"/>
      <c r="I58" s="1455" t="s">
        <v>846</v>
      </c>
      <c r="J58" s="1457">
        <f ca="1">IF(J55&lt;0.4,0.4,J55)</f>
        <v>0.4</v>
      </c>
      <c r="K58" s="1434" t="s">
        <v>893</v>
      </c>
      <c r="L58" s="1424" t="e">
        <f ca="1">ROUND(POWER(1+L52,L47-L48)*(POWER(1+L52,L48)-1)/(POWER(1+L52,L47)-1),4)</f>
        <v>#DIV/0!</v>
      </c>
      <c r="O58" s="1428" t="s">
        <v>405</v>
      </c>
      <c r="P58" s="1419" t="s">
        <v>848</v>
      </c>
      <c r="Q58" s="1420">
        <f>IF(L55="比较法",L49,IF(L55="基准地价",L50,0))</f>
        <v>0</v>
      </c>
      <c r="R58" s="1420" t="s">
        <v>816</v>
      </c>
    </row>
    <row r="59" spans="1:18" s="1384" customFormat="1" ht="24.75" thickBot="1">
      <c r="A59" s="982" t="s">
        <v>398</v>
      </c>
      <c r="B59" s="950" t="s">
        <v>717</v>
      </c>
      <c r="C59" s="2316">
        <f ca="1">ROUND(IF(AND(项目基本情况!B11="自然人",项目基本情况!B10="北京市"),C49*F59/(1+'数据-取费表'!C42),C60+C61+C62),0)</f>
        <v>0</v>
      </c>
      <c r="D59" s="963" t="s">
        <v>718</v>
      </c>
      <c r="E59" s="964" t="s">
        <v>719</v>
      </c>
      <c r="F59" s="2315" t="str">
        <f>IF(项目基本情况!B11="企业","——",IF('数据-取费表'!B10="住宅",IF(F49*F50*F51/12/(1+'数据-取费表'!F30)&gt;100000,4%,2.5%),IF(F49*F50*F51/12/(1+'数据-取费表'!F30)&gt;100000,12%,7%)))</f>
        <v>——</v>
      </c>
      <c r="I59" s="1455" t="s">
        <v>849</v>
      </c>
      <c r="J59" s="1456">
        <f ca="1">IF(OR(M47="住宅",J51&lt;L48,J56="是"),"——",ROUND(C29*J58,0))</f>
        <v>2479208</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850</v>
      </c>
      <c r="Q59" s="1431">
        <f>L52</f>
        <v>0</v>
      </c>
      <c r="R59" s="1420"/>
    </row>
    <row r="60" spans="1:18" s="1384" customFormat="1" ht="16.5" thickBot="1">
      <c r="A60" s="982" t="s">
        <v>397</v>
      </c>
      <c r="B60" s="950" t="s">
        <v>721</v>
      </c>
      <c r="C60" s="21">
        <f ca="1">IF(项目基本情况!B11="自然人","——",ROUND(C48*F60/(1+'数据-取费表'!C42),0))</f>
        <v>0</v>
      </c>
      <c r="D60" s="964" t="s">
        <v>722</v>
      </c>
      <c r="E60" s="950" t="s">
        <v>710</v>
      </c>
      <c r="F60" s="331">
        <f t="shared" ref="F60:F66" si="0">F32</f>
        <v>5.6000000000000001E-2</v>
      </c>
      <c r="I60" s="1458" t="s">
        <v>851</v>
      </c>
      <c r="J60" s="1459">
        <f ca="1">IF(OR(M47="住宅",J51&lt;L48,J56="是"),"0",ROUND(J59/(1+J52)^J53,0))</f>
        <v>243549</v>
      </c>
      <c r="K60" s="1460" t="s">
        <v>852</v>
      </c>
      <c r="L60" s="1459">
        <f ca="1">IF(OR(M47="住宅",L48&lt;J51),0,ROUND(L57*(L58/L59-1),0))</f>
        <v>0</v>
      </c>
      <c r="O60" s="1428" t="s">
        <v>407</v>
      </c>
      <c r="P60" s="1419" t="s">
        <v>853</v>
      </c>
      <c r="Q60" s="1420" t="e">
        <f ca="1">L58</f>
        <v>#DIV/0!</v>
      </c>
      <c r="R60" s="1420" t="s">
        <v>854</v>
      </c>
    </row>
    <row r="61" spans="1:18" s="1384" customFormat="1" ht="13.5" thickBot="1">
      <c r="A61" s="982" t="s">
        <v>779</v>
      </c>
      <c r="B61" s="950" t="s">
        <v>780</v>
      </c>
      <c r="C61" s="21">
        <f ca="1">IF(项目基本情况!B11="自然人","——",IF(D61="按租金收入计税",ROUND(C49*F61/(1+'数据-取费表'!C42),0),IF(D61="按房产原值计税",ROUND(C57*F61*0.7,0),INDIRECT("'数据-取费表'!Aj"&amp;$G$1))))</f>
        <v>0</v>
      </c>
      <c r="D61" s="1370" t="s">
        <v>3329</v>
      </c>
      <c r="E61" s="950" t="s">
        <v>710</v>
      </c>
      <c r="F61" s="322">
        <f t="shared" si="0"/>
        <v>0.12</v>
      </c>
      <c r="I61" s="1461"/>
      <c r="J61" s="1461"/>
      <c r="K61" s="1461"/>
      <c r="L61" s="1461"/>
      <c r="O61" s="1428" t="s">
        <v>408</v>
      </c>
      <c r="P61" s="1419" t="str">
        <f>K59</f>
        <v>建筑物剩余耐用年限下的土地年期修正系数Kn</v>
      </c>
      <c r="Q61" s="1420" t="e">
        <f ca="1">L59</f>
        <v>#DIV/0!</v>
      </c>
      <c r="R61" s="1420" t="s">
        <v>855</v>
      </c>
    </row>
    <row r="62" spans="1:18" s="1384" customFormat="1" ht="13.5" thickBot="1">
      <c r="A62" s="982" t="s">
        <v>782</v>
      </c>
      <c r="B62" s="949" t="s">
        <v>783</v>
      </c>
      <c r="C62" s="22">
        <f ca="1">IF(项目基本情况!B11="自然人","——",ROUND(F62*F63,0))</f>
        <v>0</v>
      </c>
      <c r="D62" s="965" t="s">
        <v>729</v>
      </c>
      <c r="E62" s="950" t="s">
        <v>785</v>
      </c>
      <c r="F62" s="325">
        <f t="shared" si="0"/>
        <v>0</v>
      </c>
      <c r="I62" s="1462" t="s">
        <v>856</v>
      </c>
      <c r="J62" s="1463" t="s">
        <v>857</v>
      </c>
      <c r="K62" s="1463" t="s">
        <v>858</v>
      </c>
      <c r="L62" s="1463" t="s">
        <v>859</v>
      </c>
      <c r="M62" s="1464" t="s">
        <v>860</v>
      </c>
      <c r="O62" s="1418" t="s">
        <v>409</v>
      </c>
      <c r="P62" s="1419" t="s">
        <v>861</v>
      </c>
      <c r="Q62" s="1420">
        <f ca="1">Q56+Q57</f>
        <v>28655707</v>
      </c>
      <c r="R62" s="1420" t="s">
        <v>410</v>
      </c>
    </row>
    <row r="63" spans="1:18" s="1384" customFormat="1" ht="13.5" thickBot="1">
      <c r="A63" s="326"/>
      <c r="B63" s="956"/>
      <c r="C63" s="26"/>
      <c r="D63" s="966"/>
      <c r="E63" s="950" t="s">
        <v>734</v>
      </c>
      <c r="F63" s="303">
        <f t="shared" ca="1" si="0"/>
        <v>0</v>
      </c>
      <c r="I63" s="1462" t="s">
        <v>862</v>
      </c>
      <c r="J63" s="1463">
        <v>70</v>
      </c>
      <c r="K63" s="1463">
        <v>50</v>
      </c>
      <c r="L63" s="1463">
        <v>80</v>
      </c>
      <c r="M63" s="1465">
        <v>0.02</v>
      </c>
      <c r="O63" s="1403" t="s">
        <v>863</v>
      </c>
      <c r="P63" s="1381"/>
      <c r="Q63" s="1381"/>
      <c r="R63" s="1381"/>
    </row>
    <row r="64" spans="1:18" s="1384" customFormat="1" ht="13.5" thickBot="1">
      <c r="A64" s="982" t="s">
        <v>787</v>
      </c>
      <c r="B64" s="950" t="s">
        <v>788</v>
      </c>
      <c r="C64" s="21">
        <f ca="1">ROUND(C57*F64,0)</f>
        <v>61980</v>
      </c>
      <c r="D64" s="964" t="s">
        <v>789</v>
      </c>
      <c r="E64" s="950" t="s">
        <v>710</v>
      </c>
      <c r="F64" s="328">
        <f t="shared" ca="1" si="0"/>
        <v>0.01</v>
      </c>
      <c r="I64" s="1462" t="s">
        <v>864</v>
      </c>
      <c r="J64" s="1463">
        <v>50</v>
      </c>
      <c r="K64" s="1463">
        <v>35</v>
      </c>
      <c r="L64" s="1463">
        <v>60</v>
      </c>
      <c r="M64" s="1464">
        <v>0</v>
      </c>
      <c r="O64" s="1411" t="s">
        <v>809</v>
      </c>
      <c r="P64" s="1412" t="s">
        <v>810</v>
      </c>
      <c r="Q64" s="1413" t="s">
        <v>811</v>
      </c>
      <c r="R64" s="1413" t="s">
        <v>812</v>
      </c>
    </row>
    <row r="65" spans="1:18" s="1384" customFormat="1" ht="13.5" thickBot="1">
      <c r="A65" s="982" t="s">
        <v>790</v>
      </c>
      <c r="B65" s="950" t="s">
        <v>740</v>
      </c>
      <c r="C65" s="21">
        <f ca="1">ROUND(C56*F65,0)</f>
        <v>5454</v>
      </c>
      <c r="D65" s="964" t="s">
        <v>741</v>
      </c>
      <c r="E65" s="950" t="s">
        <v>710</v>
      </c>
      <c r="F65" s="330">
        <f t="shared" ca="1" si="0"/>
        <v>1E-3</v>
      </c>
      <c r="I65" s="1462" t="s">
        <v>865</v>
      </c>
      <c r="J65" s="1463">
        <v>40</v>
      </c>
      <c r="K65" s="1463">
        <v>30</v>
      </c>
      <c r="L65" s="1463">
        <v>50</v>
      </c>
      <c r="M65" s="1465">
        <v>0.02</v>
      </c>
      <c r="O65" s="1418" t="s">
        <v>403</v>
      </c>
      <c r="P65" s="1419" t="s">
        <v>866</v>
      </c>
      <c r="Q65" s="1420">
        <f ca="1">C40+J29</f>
        <v>28655707</v>
      </c>
      <c r="R65" s="1420" t="s">
        <v>816</v>
      </c>
    </row>
    <row r="66" spans="1:18" s="1384" customFormat="1" ht="16.5" thickBot="1">
      <c r="A66" s="982" t="s">
        <v>791</v>
      </c>
      <c r="B66" s="950" t="s">
        <v>726</v>
      </c>
      <c r="C66" s="21">
        <f ca="1">ROUND(C48*F66,0)</f>
        <v>0</v>
      </c>
      <c r="D66" s="964" t="s">
        <v>792</v>
      </c>
      <c r="E66" s="950" t="s">
        <v>710</v>
      </c>
      <c r="F66" s="312">
        <f t="shared" ca="1" si="0"/>
        <v>0.01</v>
      </c>
      <c r="O66" s="1418" t="s">
        <v>404</v>
      </c>
      <c r="P66" s="1419" t="s">
        <v>844</v>
      </c>
      <c r="Q66" s="1420">
        <f ca="1">L60</f>
        <v>0</v>
      </c>
      <c r="R66" s="1420" t="s">
        <v>867</v>
      </c>
    </row>
    <row r="67" spans="1:18" s="1384" customFormat="1" ht="16.5" thickBot="1">
      <c r="A67" s="957" t="s">
        <v>394</v>
      </c>
      <c r="B67" s="967" t="s">
        <v>750</v>
      </c>
      <c r="C67" s="316">
        <f ca="1">C48-C58</f>
        <v>-67434</v>
      </c>
      <c r="D67" s="963" t="s">
        <v>751</v>
      </c>
      <c r="E67" s="968"/>
      <c r="F67" s="969"/>
      <c r="O67" s="1428" t="s">
        <v>405</v>
      </c>
      <c r="P67" s="1419" t="s">
        <v>848</v>
      </c>
      <c r="Q67" s="1466">
        <f ca="1">L51</f>
        <v>21903674</v>
      </c>
      <c r="R67" s="1420" t="s">
        <v>868</v>
      </c>
    </row>
    <row r="68" spans="1:18" s="1384" customFormat="1" ht="16.5" thickBot="1">
      <c r="A68" s="947" t="s">
        <v>395</v>
      </c>
      <c r="B68" s="948" t="s">
        <v>772</v>
      </c>
      <c r="C68" s="301">
        <f ca="1">ROUND(C67*(1-((1+F70)/(1+F68))^F69)/(F68-F70),0)</f>
        <v>-982036</v>
      </c>
      <c r="D68" s="965" t="s">
        <v>756</v>
      </c>
      <c r="E68" s="950" t="s">
        <v>757</v>
      </c>
      <c r="F68" s="312">
        <f ca="1">F40</f>
        <v>5.5E-2</v>
      </c>
      <c r="O68" s="1428" t="s">
        <v>406</v>
      </c>
      <c r="P68" s="1467" t="s">
        <v>869</v>
      </c>
      <c r="Q68" s="1420">
        <f ca="1">ROUND(Q69-Q70*Q71,0)</f>
        <v>1189249</v>
      </c>
      <c r="R68" s="1420" t="s">
        <v>414</v>
      </c>
    </row>
    <row r="69" spans="1:18" s="1384" customFormat="1" ht="13.5" thickBot="1">
      <c r="A69" s="951"/>
      <c r="B69" s="952"/>
      <c r="C69" s="306"/>
      <c r="D69" s="970" t="s">
        <v>760</v>
      </c>
      <c r="E69" s="950" t="s">
        <v>761</v>
      </c>
      <c r="F69" s="333">
        <f ca="1">F41</f>
        <v>30.15</v>
      </c>
      <c r="O69" s="1428" t="s">
        <v>411</v>
      </c>
      <c r="P69" s="1467" t="s">
        <v>870</v>
      </c>
      <c r="Q69" s="1420">
        <f ca="1">C39</f>
        <v>1571047</v>
      </c>
      <c r="R69" s="1420" t="s">
        <v>816</v>
      </c>
    </row>
    <row r="70" spans="1:18" s="1384" customFormat="1" ht="13.5" thickBot="1">
      <c r="A70" s="954"/>
      <c r="B70" s="955"/>
      <c r="C70" s="310"/>
      <c r="D70" s="966"/>
      <c r="E70" s="950" t="s">
        <v>764</v>
      </c>
      <c r="F70" s="1054"/>
      <c r="O70" s="1428" t="s">
        <v>412</v>
      </c>
      <c r="P70" s="1467" t="s">
        <v>871</v>
      </c>
      <c r="Q70" s="1420">
        <f ca="1">C13</f>
        <v>5454258</v>
      </c>
      <c r="R70" s="1420" t="s">
        <v>816</v>
      </c>
    </row>
    <row r="71" spans="1:18" s="1384" customFormat="1" ht="13.5" thickBot="1">
      <c r="A71" s="971" t="s">
        <v>396</v>
      </c>
      <c r="B71" s="972" t="s">
        <v>774</v>
      </c>
      <c r="C71" s="336">
        <f ca="1">ROUND(C68/F71,0)</f>
        <v>-1459</v>
      </c>
      <c r="D71" s="973" t="s">
        <v>775</v>
      </c>
      <c r="E71" s="974" t="s">
        <v>776</v>
      </c>
      <c r="F71" s="339">
        <f ca="1">F43</f>
        <v>672.88</v>
      </c>
      <c r="O71" s="1428" t="s">
        <v>413</v>
      </c>
      <c r="P71" s="1467" t="s">
        <v>872</v>
      </c>
      <c r="Q71" s="1431">
        <f ca="1">C76</f>
        <v>7.0000000000000007E-2</v>
      </c>
      <c r="R71" s="1420"/>
    </row>
    <row r="72" spans="1:18" s="1384" customFormat="1" ht="13.5" thickBot="1">
      <c r="B72" s="726"/>
      <c r="C72" s="726"/>
      <c r="O72" s="1428" t="s">
        <v>407</v>
      </c>
      <c r="P72" s="1419" t="s">
        <v>850</v>
      </c>
      <c r="Q72" s="1431">
        <f>L52</f>
        <v>0</v>
      </c>
      <c r="R72" s="1420"/>
    </row>
    <row r="73" spans="1:18" ht="16.5" thickBot="1">
      <c r="A73" s="1384"/>
      <c r="B73" s="726"/>
      <c r="C73" s="726"/>
      <c r="D73" s="1384"/>
      <c r="E73" s="1384"/>
      <c r="F73" s="1384"/>
      <c r="O73" s="1428" t="s">
        <v>408</v>
      </c>
      <c r="P73" s="1419" t="s">
        <v>853</v>
      </c>
      <c r="Q73" s="1420" t="e">
        <f ca="1">L58</f>
        <v>#DIV/0!</v>
      </c>
      <c r="R73" s="1420" t="s">
        <v>854</v>
      </c>
    </row>
    <row r="74" spans="1:18" ht="13.5" thickBot="1">
      <c r="A74" s="1384"/>
      <c r="B74" s="273" t="s">
        <v>873</v>
      </c>
      <c r="C74" s="1469"/>
      <c r="D74" s="1384"/>
      <c r="E74" s="1384"/>
      <c r="F74" s="1384"/>
      <c r="O74" s="1428" t="s">
        <v>415</v>
      </c>
      <c r="P74" s="1419" t="str">
        <f>K59</f>
        <v>建筑物剩余耐用年限下的土地年期修正系数Kn</v>
      </c>
      <c r="Q74" s="1420" t="e">
        <f ca="1">L59</f>
        <v>#DIV/0!</v>
      </c>
      <c r="R74" s="1420" t="s">
        <v>855</v>
      </c>
    </row>
    <row r="75" spans="1:18" ht="13.5" thickBot="1">
      <c r="A75" s="1384"/>
      <c r="B75" s="340" t="s">
        <v>793</v>
      </c>
      <c r="C75" s="341">
        <f ca="1">ROUND(C13*C76,0)</f>
        <v>381798</v>
      </c>
      <c r="D75" s="1384"/>
      <c r="E75" s="1384"/>
      <c r="F75" s="1384"/>
      <c r="K75" s="1402"/>
      <c r="L75" s="1384"/>
      <c r="O75" s="1418" t="s">
        <v>409</v>
      </c>
      <c r="P75" s="1419" t="s">
        <v>836</v>
      </c>
      <c r="Q75" s="1420">
        <f ca="1">Q65+Q66</f>
        <v>28655707</v>
      </c>
      <c r="R75" s="1420" t="s">
        <v>410</v>
      </c>
    </row>
    <row r="76" spans="1:18">
      <c r="B76" s="342" t="s">
        <v>794</v>
      </c>
      <c r="C76" s="343">
        <f ca="1">INDIRECT("'数据-取费表'!j"&amp;$G$1)</f>
        <v>7.0000000000000007E-2</v>
      </c>
      <c r="I76" s="1384"/>
      <c r="J76" s="1384"/>
      <c r="K76" s="1402"/>
      <c r="L76" s="1384"/>
    </row>
    <row r="77" spans="1:18">
      <c r="B77" s="344" t="s">
        <v>795</v>
      </c>
      <c r="C77" s="345"/>
      <c r="I77" s="1384"/>
      <c r="J77" s="1384"/>
      <c r="K77" s="1402"/>
      <c r="L77" s="1384"/>
    </row>
    <row r="78" spans="1:18">
      <c r="B78" s="270" t="s">
        <v>796</v>
      </c>
      <c r="C78" s="346"/>
    </row>
    <row r="79" spans="1:18">
      <c r="B79" s="340" t="s">
        <v>797</v>
      </c>
      <c r="C79" s="274">
        <f ca="1">1-C80</f>
        <v>0.75700000000000001</v>
      </c>
    </row>
    <row r="80" spans="1:18">
      <c r="B80" s="340" t="s">
        <v>798</v>
      </c>
      <c r="C80" s="274">
        <f ca="1">ROUND(C75/C39,3)</f>
        <v>0.24299999999999999</v>
      </c>
    </row>
    <row r="81" spans="2:3">
      <c r="B81" s="270" t="s">
        <v>799</v>
      </c>
      <c r="C81" s="238"/>
    </row>
    <row r="82" spans="2:3">
      <c r="B82" s="273" t="s">
        <v>800</v>
      </c>
      <c r="C82" s="275">
        <f ca="1">1-C83</f>
        <v>0.81</v>
      </c>
    </row>
    <row r="83" spans="2:3">
      <c r="B83" s="273" t="s">
        <v>801</v>
      </c>
      <c r="C83" s="274">
        <f ca="1">ROUND(C13/C40,3)</f>
        <v>0.19</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896</v>
      </c>
    </row>
    <row r="2" spans="1:1">
      <c r="A2" s="1478"/>
    </row>
    <row r="3" spans="1:1" ht="18">
      <c r="A3" s="1479" t="str">
        <f>项目基本情况!B5&amp;"："</f>
        <v>：</v>
      </c>
    </row>
    <row r="4" spans="1:1" ht="18">
      <c r="A4" s="1480" t="str">
        <f>"受贵公司委托，我公司对"&amp;项目基本情况!S1&amp;"进行了预评估。"</f>
        <v>受贵公司委托，我公司对北京市进行了预评估。</v>
      </c>
    </row>
    <row r="5" spans="1:1" ht="18.75">
      <c r="A5" s="1481" t="s">
        <v>897</v>
      </c>
    </row>
    <row r="6" spans="1:1" ht="18.75">
      <c r="A6" s="1482" t="s">
        <v>898</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估价对象为北京市房地产，为所有。根据《国有土地使用证》[]，估价对象（分摊）出让国有建设用地使用权面积为0平方米，建筑面积为778.02平方米。</v>
      </c>
    </row>
    <row r="8" spans="1:1" ht="57.75">
      <c r="A8" s="1483" t="s">
        <v>899</v>
      </c>
    </row>
    <row r="9" spans="1:1" ht="18.75">
      <c r="A9" s="1482" t="s">
        <v>900</v>
      </c>
    </row>
    <row r="10" spans="1:1" ht="54">
      <c r="A10" s="148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估价对象为北京市房地产,属开发建设的，该项目尚在开发建设中。根据《国有土地使用证》[]，估价对象（分摊）出让国有建设用地使用权面积为0平方米，规划建筑面积为778.02平方米。</v>
      </c>
    </row>
    <row r="11" spans="1:1" ht="76.5">
      <c r="A11" s="1483" t="s">
        <v>901</v>
      </c>
    </row>
    <row r="12" spans="1:1" ht="18.75">
      <c r="A12" s="1481" t="s">
        <v>902</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903</v>
      </c>
    </row>
    <row r="15" spans="1:1" ht="18">
      <c r="A15" s="1486" t="str">
        <f>TEXT(项目基本情况!D3,"yyyy年m月d日;;")&amp;IF(项目基本情况!D3=项目基本情况!B3,"（评估专业人员实地查勘之日）","")</f>
        <v>2024年7月12日（评估专业人员实地查勘之日）</v>
      </c>
    </row>
    <row r="16" spans="1:1" ht="18.75">
      <c r="A16" s="1485" t="s">
        <v>904</v>
      </c>
    </row>
    <row r="17" spans="1:1" ht="75">
      <c r="A17" s="1480" t="s">
        <v>905</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894</v>
      </c>
    </row>
    <row r="24" spans="1:1" ht="18">
      <c r="A24" s="1487" t="str">
        <f>"本次评估采用的主估价方法为"&amp;'结果表-商业'!K4&amp;"和"&amp;'结果表-商业'!L4&amp;"。"</f>
        <v>本次评估采用的主估价方法为比较法和收益法。</v>
      </c>
    </row>
    <row r="25" spans="1:1" ht="18">
      <c r="A25" s="1487"/>
    </row>
    <row r="26" spans="1:1" ht="18.75">
      <c r="A26" s="1488" t="s">
        <v>895</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1656</v>
      </c>
      <c r="B1" s="1868"/>
      <c r="C1" s="1868"/>
      <c r="D1" s="1868"/>
      <c r="E1" s="1869"/>
      <c r="F1" s="2707"/>
      <c r="G1" s="1489"/>
      <c r="H1" s="1489"/>
      <c r="I1" s="1489"/>
      <c r="J1" s="1489"/>
      <c r="K1" s="1489"/>
      <c r="L1" s="1489"/>
      <c r="M1" s="1489"/>
      <c r="N1" s="1489"/>
      <c r="O1" s="1489"/>
      <c r="P1" s="1489"/>
      <c r="Q1" s="1489"/>
      <c r="R1" s="1489"/>
      <c r="S1" s="1489"/>
    </row>
    <row r="2" spans="1:22" ht="15.75">
      <c r="A2" s="1870" t="s">
        <v>1460</v>
      </c>
      <c r="B2" s="1871">
        <f ca="1">SUMIF(B6:B13,"&lt;&gt;#ref!",B6:B13)</f>
        <v>3527.0923000000003</v>
      </c>
      <c r="C2" s="1872" t="s">
        <v>1649</v>
      </c>
      <c r="D2" s="1873" t="s">
        <v>1650</v>
      </c>
      <c r="E2" s="2607">
        <f>SUM(E6:E13)</f>
        <v>778.02</v>
      </c>
      <c r="F2" s="2707"/>
      <c r="G2" s="1489"/>
      <c r="H2" s="1489"/>
      <c r="I2" s="1489"/>
      <c r="J2" s="1489"/>
      <c r="K2" s="1489"/>
      <c r="L2" s="1489"/>
      <c r="M2" s="1489"/>
      <c r="N2" s="1489"/>
      <c r="O2" s="1489"/>
      <c r="P2" s="1489"/>
      <c r="Q2" s="1489"/>
      <c r="R2" s="1489"/>
      <c r="S2" s="1489"/>
    </row>
    <row r="3" spans="1:22" ht="15.75">
      <c r="A3" s="1870" t="s">
        <v>684</v>
      </c>
      <c r="B3" s="2601">
        <f ca="1">ROUND(B2*10000/E2,0)</f>
        <v>45334</v>
      </c>
      <c r="C3" s="1872" t="s">
        <v>1657</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1651</v>
      </c>
      <c r="B5" s="3775" t="s">
        <v>1652</v>
      </c>
      <c r="C5" s="3776"/>
      <c r="D5" s="2708"/>
      <c r="E5" s="1874" t="s">
        <v>1653</v>
      </c>
      <c r="F5" s="1875" t="s">
        <v>1654</v>
      </c>
      <c r="G5" s="1489"/>
      <c r="H5" s="1489"/>
      <c r="I5" s="1489"/>
      <c r="J5" s="1489"/>
      <c r="K5" s="1489"/>
      <c r="L5" s="1489"/>
      <c r="M5" s="1489"/>
      <c r="N5" s="1489"/>
      <c r="O5" s="1489"/>
      <c r="P5" s="1489"/>
      <c r="Q5" s="1489"/>
      <c r="R5" s="1489"/>
      <c r="S5" s="1489"/>
    </row>
    <row r="6" spans="1:22">
      <c r="A6" s="2604" t="str">
        <f>'数据-取费表'!AN6</f>
        <v>商业收益法 (元)</v>
      </c>
      <c r="B6" s="2602">
        <f ca="1">IF(F6="是",'数据-取费表'!AO6,0)</f>
        <v>637.16669999999999</v>
      </c>
      <c r="C6" s="1872" t="s">
        <v>1649</v>
      </c>
      <c r="D6" s="2709"/>
      <c r="E6" s="2606">
        <f>IF(OR(A6=0,F6="否"),0,'数据-取费表'!K6+'数据-取费表'!S6)</f>
        <v>105.14</v>
      </c>
      <c r="F6" s="1876" t="s">
        <v>1655</v>
      </c>
      <c r="G6" s="1489"/>
      <c r="H6" s="1489"/>
      <c r="I6" s="1489"/>
      <c r="J6" s="1489"/>
      <c r="K6" s="1489"/>
      <c r="L6" s="1489"/>
      <c r="M6" s="1489"/>
      <c r="N6" s="1489"/>
      <c r="O6" s="1489"/>
      <c r="P6" s="1489"/>
      <c r="Q6" s="1489"/>
      <c r="R6" s="1489"/>
      <c r="S6" s="1489"/>
    </row>
    <row r="7" spans="1:22">
      <c r="A7" s="2604" t="str">
        <f>'数据-取费表'!AN7</f>
        <v>办公收益法 (元)</v>
      </c>
      <c r="B7" s="2602">
        <f ca="1">IF(F7="是",'数据-取费表'!AO7,0)</f>
        <v>2889.9256</v>
      </c>
      <c r="C7" s="1872" t="s">
        <v>1649</v>
      </c>
      <c r="D7" s="2709"/>
      <c r="E7" s="2606">
        <f>IF(OR(A7=0,F7="否"),0,'数据-取费表'!K7+'数据-取费表'!S7)</f>
        <v>672.88</v>
      </c>
      <c r="F7" s="1876" t="s">
        <v>1655</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1649</v>
      </c>
      <c r="D8" s="2709"/>
      <c r="E8" s="2606">
        <f>IF(OR(A8=0,F8="否"),0,'数据-取费表'!K8+'数据-取费表'!S8)</f>
        <v>0</v>
      </c>
      <c r="F8" s="1876" t="s">
        <v>1655</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1649</v>
      </c>
      <c r="D9" s="2709"/>
      <c r="E9" s="2606">
        <f>IF(OR(A9=0,F9="否"),0,'数据-取费表'!K9+'数据-取费表'!S9)</f>
        <v>0</v>
      </c>
      <c r="F9" s="1876" t="s">
        <v>1655</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1649</v>
      </c>
      <c r="D10" s="2709"/>
      <c r="E10" s="2606">
        <f>IF(OR(A10=0,F10="否"),0,'数据-取费表'!K10+'数据-取费表'!S10)</f>
        <v>0</v>
      </c>
      <c r="F10" s="1876" t="s">
        <v>1655</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1649</v>
      </c>
      <c r="D11" s="2709"/>
      <c r="E11" s="2606">
        <f>IF(OR(A11=0,F11="否"),0,'数据-取费表'!K11+'数据-取费表'!S11)</f>
        <v>0</v>
      </c>
      <c r="F11" s="1876" t="s">
        <v>1655</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1649</v>
      </c>
      <c r="D12" s="2709"/>
      <c r="E12" s="2606">
        <f>IF(OR(A12=0,F12="否"),0,'数据-取费表'!K12+'数据-取费表'!S12)</f>
        <v>0</v>
      </c>
      <c r="F12" s="1876" t="s">
        <v>1655</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1649</v>
      </c>
      <c r="D13" s="2710"/>
      <c r="E13" s="2606">
        <f>IF(OR(A13=0,F13="否"),0,'数据-取费表'!K13+'数据-取费表'!S13)</f>
        <v>0</v>
      </c>
      <c r="F13" s="1876" t="s">
        <v>1655</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1658</v>
      </c>
      <c r="B1" s="1957" t="s">
        <v>1824</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778.02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1767</v>
      </c>
      <c r="B4" s="356"/>
      <c r="C4" s="3692" t="s">
        <v>1768</v>
      </c>
      <c r="D4" s="3693"/>
      <c r="E4" s="3694" t="s">
        <v>1769</v>
      </c>
      <c r="F4" s="3695"/>
      <c r="G4" s="3692" t="s">
        <v>1770</v>
      </c>
      <c r="H4" s="3693"/>
      <c r="I4" s="3692" t="s">
        <v>1771</v>
      </c>
      <c r="J4" s="3693"/>
      <c r="K4" s="559" t="s">
        <v>1772</v>
      </c>
      <c r="L4" s="913"/>
      <c r="M4" s="914"/>
      <c r="N4" s="914"/>
      <c r="O4" s="914"/>
      <c r="P4" s="3696" t="s">
        <v>1773</v>
      </c>
      <c r="Q4" s="3697"/>
      <c r="R4" s="3702" t="s">
        <v>1769</v>
      </c>
      <c r="S4" s="3703"/>
      <c r="T4" s="3702" t="s">
        <v>1770</v>
      </c>
      <c r="U4" s="3703"/>
      <c r="V4" s="3687" t="s">
        <v>1771</v>
      </c>
      <c r="W4" s="3687"/>
      <c r="X4" s="1355"/>
      <c r="Y4" s="3702" t="s">
        <v>1773</v>
      </c>
      <c r="Z4" s="3703"/>
      <c r="AA4" s="3689" t="s">
        <v>1769</v>
      </c>
      <c r="AB4" s="3690" t="s">
        <v>1770</v>
      </c>
      <c r="AC4" s="3689" t="s">
        <v>1771</v>
      </c>
    </row>
    <row r="5" spans="1:29" ht="15">
      <c r="A5" s="358"/>
      <c r="B5" s="359"/>
      <c r="C5" s="3710" t="s">
        <v>1671</v>
      </c>
      <c r="D5" s="3711"/>
      <c r="E5" s="3717" t="s">
        <v>1672</v>
      </c>
      <c r="F5" s="3718"/>
      <c r="G5" s="3710" t="s">
        <v>1673</v>
      </c>
      <c r="H5" s="3711"/>
      <c r="I5" s="3710" t="s">
        <v>1674</v>
      </c>
      <c r="J5" s="3711"/>
      <c r="K5" s="559"/>
      <c r="L5" s="913"/>
      <c r="M5" s="914"/>
      <c r="N5" s="914"/>
      <c r="O5" s="914"/>
      <c r="P5" s="3698"/>
      <c r="Q5" s="3699"/>
      <c r="R5" s="3704"/>
      <c r="S5" s="3705"/>
      <c r="T5" s="3704"/>
      <c r="U5" s="3705"/>
      <c r="V5" s="3687"/>
      <c r="W5" s="3687"/>
      <c r="X5" s="1355"/>
      <c r="Y5" s="3704"/>
      <c r="Z5" s="3705"/>
      <c r="AA5" s="3690"/>
      <c r="AB5" s="3690"/>
      <c r="AC5" s="3690"/>
    </row>
    <row r="6" spans="1:29" ht="15.75" thickBot="1">
      <c r="A6" s="360"/>
      <c r="B6" s="361"/>
      <c r="C6" s="3708" t="s">
        <v>1675</v>
      </c>
      <c r="D6" s="3709"/>
      <c r="E6" s="3715" t="s">
        <v>1675</v>
      </c>
      <c r="F6" s="3716"/>
      <c r="G6" s="3708" t="s">
        <v>1675</v>
      </c>
      <c r="H6" s="3709"/>
      <c r="I6" s="3708" t="s">
        <v>1675</v>
      </c>
      <c r="J6" s="3709"/>
      <c r="K6" s="559" t="s">
        <v>1676</v>
      </c>
      <c r="L6" s="913"/>
      <c r="M6" s="914"/>
      <c r="N6" s="914"/>
      <c r="O6" s="914"/>
      <c r="P6" s="3700"/>
      <c r="Q6" s="3701"/>
      <c r="R6" s="3704"/>
      <c r="S6" s="3705"/>
      <c r="T6" s="3706"/>
      <c r="U6" s="3707"/>
      <c r="V6" s="3687"/>
      <c r="W6" s="3687"/>
      <c r="X6" s="1355"/>
      <c r="Y6" s="3706"/>
      <c r="Z6" s="3707"/>
      <c r="AA6" s="3691"/>
      <c r="AB6" s="3691"/>
      <c r="AC6" s="3691"/>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1678</v>
      </c>
      <c r="Q7" s="3714"/>
      <c r="R7" s="701" t="s">
        <v>14</v>
      </c>
      <c r="S7" s="702">
        <f t="shared" ref="S7:S15" si="0">F7</f>
        <v>0</v>
      </c>
      <c r="T7" s="701" t="s">
        <v>14</v>
      </c>
      <c r="U7" s="702">
        <f t="shared" ref="U7:U15" si="1">H7</f>
        <v>0</v>
      </c>
      <c r="V7" s="701" t="s">
        <v>14</v>
      </c>
      <c r="W7" s="702">
        <f t="shared" ref="W7:W15" si="2">J7</f>
        <v>0</v>
      </c>
      <c r="X7" s="703"/>
      <c r="Y7" s="3712" t="s">
        <v>1678</v>
      </c>
      <c r="Z7" s="3713"/>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1681</v>
      </c>
      <c r="Q8" s="3713"/>
      <c r="R8" s="701" t="s">
        <v>14</v>
      </c>
      <c r="S8" s="702">
        <f t="shared" si="0"/>
        <v>100</v>
      </c>
      <c r="T8" s="701" t="s">
        <v>14</v>
      </c>
      <c r="U8" s="702">
        <f t="shared" si="1"/>
        <v>100</v>
      </c>
      <c r="V8" s="701" t="s">
        <v>14</v>
      </c>
      <c r="W8" s="702">
        <f t="shared" si="2"/>
        <v>100</v>
      </c>
      <c r="X8" s="703"/>
      <c r="Y8" s="3712" t="s">
        <v>1681</v>
      </c>
      <c r="Z8" s="3713"/>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29" s="378" customFormat="1" ht="27">
      <c r="A10" s="374"/>
      <c r="B10" s="375" t="s">
        <v>1686</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7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15">
      <c r="A15" s="391" t="s">
        <v>1688</v>
      </c>
      <c r="B15" s="61" t="s">
        <v>1825</v>
      </c>
      <c r="C15" s="1971">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0" t="s">
        <v>1689</v>
      </c>
      <c r="Q15" s="1352" t="str">
        <f t="shared" si="6"/>
        <v>产业集聚程度</v>
      </c>
      <c r="R15" s="705" t="s">
        <v>14</v>
      </c>
      <c r="S15" s="706">
        <f t="shared" si="0"/>
        <v>100</v>
      </c>
      <c r="T15" s="705" t="s">
        <v>14</v>
      </c>
      <c r="U15" s="706">
        <f t="shared" si="1"/>
        <v>100</v>
      </c>
      <c r="V15" s="705" t="s">
        <v>14</v>
      </c>
      <c r="W15" s="706">
        <f t="shared" si="2"/>
        <v>100</v>
      </c>
      <c r="X15" s="1355"/>
      <c r="Y15" s="3680" t="s">
        <v>1689</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81"/>
      <c r="Q16" s="1352"/>
      <c r="R16" s="705"/>
      <c r="S16" s="706"/>
      <c r="T16" s="705"/>
      <c r="U16" s="706"/>
      <c r="V16" s="705"/>
      <c r="W16" s="706"/>
      <c r="X16" s="1355"/>
      <c r="Y16" s="3681"/>
      <c r="Z16" s="1356"/>
      <c r="AA16" s="1353">
        <v>1</v>
      </c>
      <c r="AB16" s="1353">
        <v>1</v>
      </c>
      <c r="AC16" s="1353">
        <v>1</v>
      </c>
    </row>
    <row r="17" spans="1:29" ht="15">
      <c r="A17" s="379"/>
      <c r="B17" s="402" t="s">
        <v>1257</v>
      </c>
      <c r="C17" s="1900">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81"/>
      <c r="Q18" s="1352"/>
      <c r="R18" s="705"/>
      <c r="S18" s="706"/>
      <c r="T18" s="705"/>
      <c r="U18" s="706"/>
      <c r="V18" s="705"/>
      <c r="W18" s="706"/>
      <c r="X18" s="1355"/>
      <c r="Y18" s="3681"/>
      <c r="Z18" s="1356"/>
      <c r="AA18" s="1353">
        <v>1</v>
      </c>
      <c r="AB18" s="1353">
        <v>1</v>
      </c>
      <c r="AC18" s="1353">
        <v>1</v>
      </c>
    </row>
    <row r="19" spans="1:29" ht="15">
      <c r="A19" s="379"/>
      <c r="B19" s="402" t="s">
        <v>1810</v>
      </c>
      <c r="C19" s="1900">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1"/>
      <c r="Q19" s="1352" t="str">
        <f>B19</f>
        <v>公共配套设施</v>
      </c>
      <c r="R19" s="705" t="s">
        <v>14</v>
      </c>
      <c r="S19" s="706">
        <f>F19</f>
        <v>100</v>
      </c>
      <c r="T19" s="705" t="s">
        <v>14</v>
      </c>
      <c r="U19" s="706">
        <f>H19</f>
        <v>100</v>
      </c>
      <c r="V19" s="705" t="s">
        <v>14</v>
      </c>
      <c r="W19" s="706">
        <f>J19</f>
        <v>100</v>
      </c>
      <c r="X19" s="1355"/>
      <c r="Y19" s="368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81"/>
      <c r="Q20" s="1352"/>
      <c r="R20" s="705"/>
      <c r="S20" s="706"/>
      <c r="T20" s="705"/>
      <c r="U20" s="706"/>
      <c r="V20" s="705"/>
      <c r="W20" s="706"/>
      <c r="X20" s="1355"/>
      <c r="Y20" s="3681"/>
      <c r="Z20" s="1356"/>
      <c r="AA20" s="1353">
        <v>1</v>
      </c>
      <c r="AB20" s="1353">
        <v>1</v>
      </c>
      <c r="AC20" s="1353">
        <v>1</v>
      </c>
    </row>
    <row r="21" spans="1:29" ht="15">
      <c r="A21" s="379"/>
      <c r="B21" s="1131" t="s">
        <v>1811</v>
      </c>
      <c r="C21" s="1900">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1"/>
      <c r="Q21" s="1352" t="str">
        <f>B21</f>
        <v>基础设施水平</v>
      </c>
      <c r="R21" s="705" t="s">
        <v>14</v>
      </c>
      <c r="S21" s="706">
        <f>F21</f>
        <v>100</v>
      </c>
      <c r="T21" s="705" t="s">
        <v>14</v>
      </c>
      <c r="U21" s="706">
        <f>H21</f>
        <v>100</v>
      </c>
      <c r="V21" s="705" t="s">
        <v>14</v>
      </c>
      <c r="W21" s="706">
        <f>J21</f>
        <v>100</v>
      </c>
      <c r="X21" s="1355"/>
      <c r="Y21" s="368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81"/>
      <c r="Q22" s="1352"/>
      <c r="R22" s="705"/>
      <c r="S22" s="706"/>
      <c r="T22" s="705"/>
      <c r="U22" s="706"/>
      <c r="V22" s="705"/>
      <c r="W22" s="706"/>
      <c r="X22" s="1355"/>
      <c r="Y22" s="3681"/>
      <c r="Z22" s="1356"/>
      <c r="AA22" s="1353">
        <v>1</v>
      </c>
      <c r="AB22" s="1353">
        <v>1</v>
      </c>
      <c r="AC22" s="1353">
        <v>1</v>
      </c>
    </row>
    <row r="23" spans="1:29" ht="15">
      <c r="A23" s="379"/>
      <c r="B23" s="402" t="s">
        <v>1812</v>
      </c>
      <c r="C23" s="1900">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1"/>
      <c r="Q23" s="1352" t="str">
        <f>B23</f>
        <v>环境质量</v>
      </c>
      <c r="R23" s="705" t="s">
        <v>14</v>
      </c>
      <c r="S23" s="706">
        <f>F23</f>
        <v>100</v>
      </c>
      <c r="T23" s="705" t="s">
        <v>14</v>
      </c>
      <c r="U23" s="706">
        <f>H23</f>
        <v>100</v>
      </c>
      <c r="V23" s="705" t="s">
        <v>14</v>
      </c>
      <c r="W23" s="706">
        <f>J23</f>
        <v>100</v>
      </c>
      <c r="X23" s="1355"/>
      <c r="Y23" s="368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81"/>
      <c r="Q24" s="1352"/>
      <c r="R24" s="705"/>
      <c r="S24" s="706"/>
      <c r="T24" s="705"/>
      <c r="U24" s="706"/>
      <c r="V24" s="705"/>
      <c r="W24" s="706"/>
      <c r="X24" s="1355"/>
      <c r="Y24" s="368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1"/>
      <c r="Q25" s="1352">
        <f>B25</f>
        <v>111</v>
      </c>
      <c r="R25" s="705" t="s">
        <v>14</v>
      </c>
      <c r="S25" s="706">
        <f>F25</f>
        <v>100</v>
      </c>
      <c r="T25" s="705" t="s">
        <v>14</v>
      </c>
      <c r="U25" s="706">
        <f>H25</f>
        <v>100</v>
      </c>
      <c r="V25" s="705" t="s">
        <v>14</v>
      </c>
      <c r="W25" s="706">
        <f>J25</f>
        <v>100</v>
      </c>
      <c r="X25" s="1355"/>
      <c r="Y25" s="368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1"/>
      <c r="Q26" s="1352">
        <f t="shared" ref="Q26:Q40" si="11">B26</f>
        <v>111</v>
      </c>
      <c r="R26" s="705" t="s">
        <v>14</v>
      </c>
      <c r="S26" s="706">
        <f>F26</f>
        <v>100</v>
      </c>
      <c r="T26" s="705" t="s">
        <v>14</v>
      </c>
      <c r="U26" s="706">
        <f>H26</f>
        <v>100</v>
      </c>
      <c r="V26" s="705" t="s">
        <v>14</v>
      </c>
      <c r="W26" s="706">
        <f>J26</f>
        <v>100</v>
      </c>
      <c r="X26" s="1355"/>
      <c r="Y26" s="368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1"/>
      <c r="Q27" s="1343">
        <f t="shared" si="11"/>
        <v>111</v>
      </c>
      <c r="R27" s="701" t="s">
        <v>14</v>
      </c>
      <c r="S27" s="702">
        <f>F27</f>
        <v>100</v>
      </c>
      <c r="T27" s="701" t="s">
        <v>14</v>
      </c>
      <c r="U27" s="702">
        <f>H27</f>
        <v>100</v>
      </c>
      <c r="V27" s="701" t="s">
        <v>14</v>
      </c>
      <c r="W27" s="702">
        <f>J27</f>
        <v>100</v>
      </c>
      <c r="X27" s="703"/>
      <c r="Y27" s="368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1"/>
      <c r="Q28" s="1352">
        <f t="shared" si="11"/>
        <v>111</v>
      </c>
      <c r="R28" s="705" t="s">
        <v>14</v>
      </c>
      <c r="S28" s="706">
        <f t="shared" ref="S28:S40" si="12">F28</f>
        <v>100</v>
      </c>
      <c r="T28" s="705" t="s">
        <v>14</v>
      </c>
      <c r="U28" s="706">
        <f t="shared" ref="U28:U40" si="13">H28</f>
        <v>100</v>
      </c>
      <c r="V28" s="705" t="s">
        <v>14</v>
      </c>
      <c r="W28" s="706">
        <f t="shared" ref="W28:W40" si="14">J28</f>
        <v>100</v>
      </c>
      <c r="X28" s="1355"/>
      <c r="Y28" s="3681"/>
      <c r="Z28" s="1356">
        <f t="shared" ref="Z28:Z40" si="15">Q28</f>
        <v>111</v>
      </c>
      <c r="AA28" s="1353">
        <f t="shared" si="3"/>
        <v>1</v>
      </c>
      <c r="AB28" s="1353">
        <f t="shared" si="4"/>
        <v>1</v>
      </c>
      <c r="AC28" s="1353">
        <f t="shared" si="5"/>
        <v>1</v>
      </c>
    </row>
    <row r="29" spans="1:29" ht="28.5">
      <c r="A29" s="417" t="s">
        <v>1692</v>
      </c>
      <c r="B29" s="63" t="s">
        <v>1815</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7" t="s">
        <v>1694</v>
      </c>
      <c r="Q29" s="1352" t="str">
        <f t="shared" si="11"/>
        <v>建筑类型</v>
      </c>
      <c r="R29" s="705" t="s">
        <v>14</v>
      </c>
      <c r="S29" s="706">
        <f t="shared" si="12"/>
        <v>100</v>
      </c>
      <c r="T29" s="705" t="s">
        <v>14</v>
      </c>
      <c r="U29" s="706">
        <f t="shared" si="13"/>
        <v>100</v>
      </c>
      <c r="V29" s="705" t="s">
        <v>14</v>
      </c>
      <c r="W29" s="706">
        <f t="shared" si="14"/>
        <v>100</v>
      </c>
      <c r="X29" s="1355"/>
      <c r="Y29" s="3685" t="s">
        <v>1694</v>
      </c>
      <c r="Z29" s="1356" t="str">
        <f t="shared" si="15"/>
        <v>建筑类型</v>
      </c>
      <c r="AA29" s="1353">
        <f t="shared" si="3"/>
        <v>1</v>
      </c>
      <c r="AB29" s="1353">
        <f t="shared" si="4"/>
        <v>1</v>
      </c>
      <c r="AC29" s="1353">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5"/>
      <c r="Q30" s="707" t="str">
        <f t="shared" si="11"/>
        <v>项目建筑规模</v>
      </c>
      <c r="R30" s="708" t="s">
        <v>14</v>
      </c>
      <c r="S30" s="709" t="e">
        <f t="shared" si="12"/>
        <v>#N/A</v>
      </c>
      <c r="T30" s="708" t="s">
        <v>14</v>
      </c>
      <c r="U30" s="709" t="e">
        <f t="shared" si="13"/>
        <v>#N/A</v>
      </c>
      <c r="V30" s="708" t="s">
        <v>14</v>
      </c>
      <c r="W30" s="709" t="e">
        <f t="shared" si="14"/>
        <v>#N/A</v>
      </c>
      <c r="X30" s="710"/>
      <c r="Y30" s="3685"/>
      <c r="Z30" s="711" t="str">
        <f t="shared" si="15"/>
        <v>项目建筑规模</v>
      </c>
      <c r="AA30" s="1353" t="e">
        <f t="shared" si="3"/>
        <v>#N/A</v>
      </c>
      <c r="AB30" s="1353" t="e">
        <f t="shared" si="4"/>
        <v>#N/A</v>
      </c>
      <c r="AC30" s="1353"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5"/>
      <c r="Q31" s="1352" t="str">
        <f t="shared" si="11"/>
        <v>建筑结构</v>
      </c>
      <c r="R31" s="705" t="s">
        <v>14</v>
      </c>
      <c r="S31" s="706">
        <f t="shared" si="12"/>
        <v>100</v>
      </c>
      <c r="T31" s="705" t="s">
        <v>14</v>
      </c>
      <c r="U31" s="706">
        <f t="shared" si="13"/>
        <v>100</v>
      </c>
      <c r="V31" s="705" t="s">
        <v>14</v>
      </c>
      <c r="W31" s="706">
        <f t="shared" si="14"/>
        <v>100</v>
      </c>
      <c r="X31" s="1355"/>
      <c r="Y31" s="3685"/>
      <c r="Z31" s="1356" t="str">
        <f t="shared" si="15"/>
        <v>建筑结构</v>
      </c>
      <c r="AA31" s="1353">
        <f t="shared" si="3"/>
        <v>1</v>
      </c>
      <c r="AB31" s="1353">
        <f t="shared" si="4"/>
        <v>1</v>
      </c>
      <c r="AC31" s="1353">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5"/>
      <c r="Q32" s="1352" t="str">
        <f t="shared" si="11"/>
        <v>公共部分装修</v>
      </c>
      <c r="R32" s="705" t="s">
        <v>14</v>
      </c>
      <c r="S32" s="706">
        <f t="shared" si="12"/>
        <v>100</v>
      </c>
      <c r="T32" s="705" t="s">
        <v>14</v>
      </c>
      <c r="U32" s="706">
        <f t="shared" si="13"/>
        <v>100</v>
      </c>
      <c r="V32" s="705" t="s">
        <v>14</v>
      </c>
      <c r="W32" s="706">
        <f t="shared" si="14"/>
        <v>100</v>
      </c>
      <c r="X32" s="1355"/>
      <c r="Y32" s="3685"/>
      <c r="Z32" s="1356" t="str">
        <f t="shared" si="15"/>
        <v>公共部分装修</v>
      </c>
      <c r="AA32" s="1353">
        <f t="shared" si="3"/>
        <v>1</v>
      </c>
      <c r="AB32" s="1353">
        <f t="shared" si="4"/>
        <v>1</v>
      </c>
      <c r="AC32" s="1353">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5"/>
      <c r="Q33" s="1352" t="str">
        <f t="shared" si="11"/>
        <v>成新度</v>
      </c>
      <c r="R33" s="705" t="s">
        <v>14</v>
      </c>
      <c r="S33" s="706" t="e">
        <f t="shared" si="12"/>
        <v>#N/A</v>
      </c>
      <c r="T33" s="705" t="s">
        <v>14</v>
      </c>
      <c r="U33" s="706" t="e">
        <f t="shared" si="13"/>
        <v>#N/A</v>
      </c>
      <c r="V33" s="705" t="s">
        <v>14</v>
      </c>
      <c r="W33" s="706" t="e">
        <f t="shared" si="14"/>
        <v>#N/A</v>
      </c>
      <c r="X33" s="1355"/>
      <c r="Y33" s="3685"/>
      <c r="Z33" s="1356" t="str">
        <f t="shared" si="15"/>
        <v>成新度</v>
      </c>
      <c r="AA33" s="1353" t="e">
        <f t="shared" si="3"/>
        <v>#N/A</v>
      </c>
      <c r="AB33" s="1353" t="e">
        <f t="shared" si="4"/>
        <v>#N/A</v>
      </c>
      <c r="AC33" s="1353"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5"/>
      <c r="Q34" s="1343" t="str">
        <f t="shared" si="11"/>
        <v>物业管理</v>
      </c>
      <c r="R34" s="701" t="s">
        <v>14</v>
      </c>
      <c r="S34" s="702">
        <f t="shared" si="12"/>
        <v>100</v>
      </c>
      <c r="T34" s="701" t="s">
        <v>14</v>
      </c>
      <c r="U34" s="702">
        <f t="shared" si="13"/>
        <v>100</v>
      </c>
      <c r="V34" s="701" t="s">
        <v>14</v>
      </c>
      <c r="W34" s="702">
        <f t="shared" si="14"/>
        <v>100</v>
      </c>
      <c r="X34" s="703"/>
      <c r="Y34" s="3685"/>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5" t="s">
        <v>1694</v>
      </c>
      <c r="Q35" s="1352" t="str">
        <f t="shared" si="11"/>
        <v>市政基础设施</v>
      </c>
      <c r="R35" s="705" t="s">
        <v>14</v>
      </c>
      <c r="S35" s="706">
        <f t="shared" si="12"/>
        <v>100</v>
      </c>
      <c r="T35" s="705" t="s">
        <v>14</v>
      </c>
      <c r="U35" s="706">
        <f t="shared" si="13"/>
        <v>100</v>
      </c>
      <c r="V35" s="705" t="s">
        <v>14</v>
      </c>
      <c r="W35" s="706">
        <f t="shared" si="14"/>
        <v>100</v>
      </c>
      <c r="X35" s="1355"/>
      <c r="Y35" s="3685" t="s">
        <v>1694</v>
      </c>
      <c r="Z35" s="1356" t="str">
        <f t="shared" si="15"/>
        <v>市政基础设施</v>
      </c>
      <c r="AA35" s="1353">
        <f t="shared" si="3"/>
        <v>1</v>
      </c>
      <c r="AB35" s="1353">
        <f t="shared" si="4"/>
        <v>1</v>
      </c>
      <c r="AC35" s="1353">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5"/>
      <c r="Q36" s="1352" t="str">
        <f t="shared" si="11"/>
        <v>内部装修</v>
      </c>
      <c r="R36" s="705" t="s">
        <v>14</v>
      </c>
      <c r="S36" s="706">
        <f t="shared" si="12"/>
        <v>100</v>
      </c>
      <c r="T36" s="705" t="s">
        <v>14</v>
      </c>
      <c r="U36" s="706">
        <f t="shared" si="13"/>
        <v>100</v>
      </c>
      <c r="V36" s="705" t="s">
        <v>14</v>
      </c>
      <c r="W36" s="706">
        <f t="shared" si="14"/>
        <v>100</v>
      </c>
      <c r="X36" s="1355"/>
      <c r="Y36" s="3685"/>
      <c r="Z36" s="1356" t="str">
        <f t="shared" si="15"/>
        <v>内部装修</v>
      </c>
      <c r="AA36" s="1353">
        <f t="shared" si="3"/>
        <v>1</v>
      </c>
      <c r="AB36" s="1353">
        <f t="shared" si="4"/>
        <v>1</v>
      </c>
      <c r="AC36" s="1353">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5"/>
      <c r="Q37" s="1352" t="str">
        <f t="shared" si="11"/>
        <v>内部装修状况</v>
      </c>
      <c r="R37" s="705" t="s">
        <v>14</v>
      </c>
      <c r="S37" s="706">
        <f t="shared" si="12"/>
        <v>100</v>
      </c>
      <c r="T37" s="705" t="s">
        <v>14</v>
      </c>
      <c r="U37" s="706">
        <f t="shared" si="13"/>
        <v>100</v>
      </c>
      <c r="V37" s="705" t="s">
        <v>14</v>
      </c>
      <c r="W37" s="706">
        <f t="shared" si="14"/>
        <v>100</v>
      </c>
      <c r="X37" s="1355"/>
      <c r="Y37" s="368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5"/>
      <c r="Q38" s="707">
        <f t="shared" si="11"/>
        <v>111</v>
      </c>
      <c r="R38" s="708" t="s">
        <v>14</v>
      </c>
      <c r="S38" s="709">
        <f t="shared" si="12"/>
        <v>100</v>
      </c>
      <c r="T38" s="708" t="s">
        <v>14</v>
      </c>
      <c r="U38" s="709">
        <f t="shared" si="13"/>
        <v>100</v>
      </c>
      <c r="V38" s="708" t="s">
        <v>14</v>
      </c>
      <c r="W38" s="709">
        <f t="shared" si="14"/>
        <v>100</v>
      </c>
      <c r="X38" s="710"/>
      <c r="Y38" s="368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5"/>
      <c r="Q39" s="1352">
        <f t="shared" si="11"/>
        <v>111</v>
      </c>
      <c r="R39" s="705" t="s">
        <v>14</v>
      </c>
      <c r="S39" s="706">
        <f t="shared" si="12"/>
        <v>100</v>
      </c>
      <c r="T39" s="705" t="s">
        <v>14</v>
      </c>
      <c r="U39" s="706">
        <f t="shared" si="13"/>
        <v>100</v>
      </c>
      <c r="V39" s="705" t="s">
        <v>14</v>
      </c>
      <c r="W39" s="706">
        <f t="shared" si="14"/>
        <v>100</v>
      </c>
      <c r="X39" s="1355"/>
      <c r="Y39" s="368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6"/>
      <c r="Q40" s="1352">
        <f t="shared" si="11"/>
        <v>111</v>
      </c>
      <c r="R40" s="705" t="s">
        <v>14</v>
      </c>
      <c r="S40" s="706">
        <f t="shared" si="12"/>
        <v>100</v>
      </c>
      <c r="T40" s="705" t="s">
        <v>14</v>
      </c>
      <c r="U40" s="706">
        <f t="shared" si="13"/>
        <v>100</v>
      </c>
      <c r="V40" s="705" t="s">
        <v>14</v>
      </c>
      <c r="W40" s="706">
        <f t="shared" si="14"/>
        <v>100</v>
      </c>
      <c r="X40" s="1355"/>
      <c r="Y40" s="3686"/>
      <c r="Z40" s="1356">
        <f t="shared" si="15"/>
        <v>111</v>
      </c>
      <c r="AA40" s="1353">
        <f t="shared" si="3"/>
        <v>1</v>
      </c>
      <c r="AB40" s="1353">
        <f t="shared" si="4"/>
        <v>1</v>
      </c>
      <c r="AC40" s="1353">
        <f t="shared" si="5"/>
        <v>1</v>
      </c>
    </row>
    <row r="41" spans="1:29" ht="15">
      <c r="A41" s="430" t="s">
        <v>1706</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1791</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1792</v>
      </c>
      <c r="B43" s="442"/>
      <c r="C43" s="1163" t="e">
        <f>R43</f>
        <v>#DIV/0!</v>
      </c>
      <c r="D43" s="1163"/>
      <c r="E43" s="1163"/>
      <c r="F43" s="1163"/>
      <c r="G43" s="1163"/>
      <c r="H43" s="1163"/>
      <c r="I43" s="1163"/>
      <c r="J43" s="1163"/>
      <c r="K43" s="715"/>
      <c r="L43" s="926"/>
      <c r="M43" s="927"/>
      <c r="N43" s="927"/>
      <c r="O43" s="927"/>
      <c r="P43" s="3675" t="str">
        <f>A43</f>
        <v>估价对象XX用房的比较价值（楼面单价，元/平方米）</v>
      </c>
      <c r="Q43" s="3676"/>
      <c r="R43" s="3677" t="e">
        <f>IF(F1="售价",ROUND(IF(D42="简单平均",AVERAGE(R42:V42),R42*F42+T42*H42+V42*J42),0),ROUND(IF(D42="简单平均",AVERAGE(R42:V42),R42*F42+T42*H42+V42*J42),1))</f>
        <v>#DIV/0!</v>
      </c>
      <c r="S43" s="3677"/>
      <c r="T43" s="3677"/>
      <c r="U43" s="3677"/>
      <c r="V43" s="3677"/>
      <c r="W43" s="3677"/>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1796</v>
      </c>
      <c r="B51" s="690"/>
      <c r="C51" s="695"/>
      <c r="D51" s="695"/>
      <c r="E51" s="695"/>
      <c r="F51" s="696"/>
      <c r="G51" s="696"/>
      <c r="H51" s="695"/>
      <c r="I51" s="695"/>
      <c r="J51" s="695"/>
      <c r="K51" s="941"/>
      <c r="L51" s="942"/>
      <c r="M51" s="940"/>
      <c r="N51" s="940"/>
      <c r="O51" s="940"/>
      <c r="P51" s="452"/>
      <c r="Q51" s="453"/>
    </row>
    <row r="52" spans="1:17" s="457" customFormat="1" ht="15">
      <c r="A52" s="454" t="s">
        <v>1677</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70"/>
      <c r="O54" s="2771"/>
      <c r="P54" s="453"/>
      <c r="Q54" s="453"/>
    </row>
    <row r="55" spans="1:17" s="108" customFormat="1" ht="15">
      <c r="A55" s="470" t="s">
        <v>1679</v>
      </c>
      <c r="B55" s="459"/>
      <c r="C55" s="471" t="s">
        <v>1774</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1717</v>
      </c>
      <c r="B57" s="477" t="s">
        <v>1683</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1686</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1692</v>
      </c>
      <c r="B88" s="477" t="s">
        <v>1734</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1736</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1738</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1739</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1740</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1742</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3326</v>
      </c>
      <c r="C1" s="1224" t="s">
        <v>1660</v>
      </c>
      <c r="D1" s="1225"/>
      <c r="E1" s="3433"/>
      <c r="F1" s="1879"/>
      <c r="G1" s="1227" t="s">
        <v>1765</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1767</v>
      </c>
      <c r="B4" s="356"/>
      <c r="C4" s="3692" t="s">
        <v>1768</v>
      </c>
      <c r="D4" s="3693"/>
      <c r="E4" s="3694" t="s">
        <v>1769</v>
      </c>
      <c r="F4" s="3695"/>
      <c r="G4" s="3692" t="s">
        <v>1770</v>
      </c>
      <c r="H4" s="3693"/>
      <c r="I4" s="3692" t="s">
        <v>1771</v>
      </c>
      <c r="J4" s="3693"/>
      <c r="K4" s="559" t="s">
        <v>1772</v>
      </c>
      <c r="L4" s="2715"/>
      <c r="M4" s="2716"/>
      <c r="N4" s="2716"/>
      <c r="O4" s="2716"/>
      <c r="P4" s="3696" t="s">
        <v>1773</v>
      </c>
      <c r="Q4" s="3697"/>
      <c r="R4" s="3702" t="s">
        <v>1769</v>
      </c>
      <c r="S4" s="3703"/>
      <c r="T4" s="3702" t="s">
        <v>1770</v>
      </c>
      <c r="U4" s="3703"/>
      <c r="V4" s="3687" t="s">
        <v>1771</v>
      </c>
      <c r="W4" s="3687"/>
      <c r="X4" s="1355"/>
      <c r="Y4" s="3702" t="s">
        <v>1773</v>
      </c>
      <c r="Z4" s="3703"/>
      <c r="AA4" s="3689" t="s">
        <v>1769</v>
      </c>
      <c r="AB4" s="3690" t="s">
        <v>1770</v>
      </c>
      <c r="AC4" s="3689" t="s">
        <v>1771</v>
      </c>
    </row>
    <row r="5" spans="1:29" ht="15">
      <c r="A5" s="358"/>
      <c r="B5" s="359"/>
      <c r="C5" s="3710" t="s">
        <v>1671</v>
      </c>
      <c r="D5" s="3711"/>
      <c r="E5" s="3717" t="s">
        <v>1672</v>
      </c>
      <c r="F5" s="3718"/>
      <c r="G5" s="3710" t="s">
        <v>1673</v>
      </c>
      <c r="H5" s="3711"/>
      <c r="I5" s="3710" t="s">
        <v>1674</v>
      </c>
      <c r="J5" s="3711"/>
      <c r="K5" s="559"/>
      <c r="L5" s="2715"/>
      <c r="M5" s="2716"/>
      <c r="N5" s="2716"/>
      <c r="O5" s="2716"/>
      <c r="P5" s="3698"/>
      <c r="Q5" s="3699"/>
      <c r="R5" s="3704"/>
      <c r="S5" s="3705"/>
      <c r="T5" s="3704"/>
      <c r="U5" s="3705"/>
      <c r="V5" s="3687"/>
      <c r="W5" s="3687"/>
      <c r="X5" s="1355"/>
      <c r="Y5" s="3704"/>
      <c r="Z5" s="3705"/>
      <c r="AA5" s="3690"/>
      <c r="AB5" s="3690"/>
      <c r="AC5" s="3690"/>
    </row>
    <row r="6" spans="1:29" ht="15.75" thickBot="1">
      <c r="A6" s="360"/>
      <c r="B6" s="361"/>
      <c r="C6" s="3708" t="s">
        <v>1675</v>
      </c>
      <c r="D6" s="3709"/>
      <c r="E6" s="3715" t="s">
        <v>1675</v>
      </c>
      <c r="F6" s="3716"/>
      <c r="G6" s="3708" t="s">
        <v>1675</v>
      </c>
      <c r="H6" s="3709"/>
      <c r="I6" s="3708" t="s">
        <v>1675</v>
      </c>
      <c r="J6" s="3709"/>
      <c r="K6" s="559" t="s">
        <v>1676</v>
      </c>
      <c r="L6" s="2715"/>
      <c r="M6" s="2716"/>
      <c r="N6" s="2716"/>
      <c r="O6" s="2716"/>
      <c r="P6" s="3700"/>
      <c r="Q6" s="3701"/>
      <c r="R6" s="3704"/>
      <c r="S6" s="3705"/>
      <c r="T6" s="3706"/>
      <c r="U6" s="3707"/>
      <c r="V6" s="3687"/>
      <c r="W6" s="3687"/>
      <c r="X6" s="1355"/>
      <c r="Y6" s="3706"/>
      <c r="Z6" s="3707"/>
      <c r="AA6" s="3691"/>
      <c r="AB6" s="3691"/>
      <c r="AC6" s="3691"/>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12" t="s">
        <v>1678</v>
      </c>
      <c r="Q7" s="3714"/>
      <c r="R7" s="701" t="s">
        <v>14</v>
      </c>
      <c r="S7" s="702">
        <f t="shared" ref="S7:S14" si="0">F7</f>
        <v>0</v>
      </c>
      <c r="T7" s="701" t="s">
        <v>14</v>
      </c>
      <c r="U7" s="702">
        <f t="shared" ref="U7:U14" si="1">H7</f>
        <v>0</v>
      </c>
      <c r="V7" s="701" t="s">
        <v>14</v>
      </c>
      <c r="W7" s="702">
        <f t="shared" ref="W7:W14" si="2">J7</f>
        <v>0</v>
      </c>
      <c r="X7" s="703"/>
      <c r="Y7" s="3712" t="s">
        <v>1678</v>
      </c>
      <c r="Z7" s="3713"/>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12" t="s">
        <v>1681</v>
      </c>
      <c r="Q8" s="3713"/>
      <c r="R8" s="701" t="s">
        <v>14</v>
      </c>
      <c r="S8" s="702">
        <f t="shared" si="0"/>
        <v>100</v>
      </c>
      <c r="T8" s="701" t="s">
        <v>14</v>
      </c>
      <c r="U8" s="702">
        <f t="shared" si="1"/>
        <v>100</v>
      </c>
      <c r="V8" s="701" t="s">
        <v>14</v>
      </c>
      <c r="W8" s="702">
        <f t="shared" si="2"/>
        <v>100</v>
      </c>
      <c r="X8" s="703"/>
      <c r="Y8" s="3712" t="s">
        <v>1681</v>
      </c>
      <c r="Z8" s="3713"/>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1684</v>
      </c>
      <c r="Q9" s="1343" t="str">
        <f t="shared" ref="Q9:Q14" si="6">B9</f>
        <v>用途</v>
      </c>
      <c r="R9" s="701" t="s">
        <v>14</v>
      </c>
      <c r="S9" s="702">
        <f t="shared" si="0"/>
        <v>100</v>
      </c>
      <c r="T9" s="701" t="s">
        <v>14</v>
      </c>
      <c r="U9" s="702">
        <f t="shared" si="1"/>
        <v>100</v>
      </c>
      <c r="V9" s="701" t="s">
        <v>14</v>
      </c>
      <c r="W9" s="702">
        <f t="shared" si="2"/>
        <v>100</v>
      </c>
      <c r="X9" s="703"/>
      <c r="Y9" s="3575" t="s">
        <v>1685</v>
      </c>
      <c r="Z9" s="52" t="str">
        <f t="shared" ref="Z9:Z14" si="7">Q9</f>
        <v>用途</v>
      </c>
      <c r="AA9" s="704">
        <f t="shared" si="3"/>
        <v>1</v>
      </c>
      <c r="AB9" s="704">
        <f t="shared" si="4"/>
        <v>1</v>
      </c>
      <c r="AC9" s="704">
        <f t="shared" si="5"/>
        <v>1</v>
      </c>
    </row>
    <row r="10" spans="1:29" s="378" customFormat="1" ht="27">
      <c r="A10" s="589"/>
      <c r="B10" s="590" t="s">
        <v>1686</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
      <c r="A14" s="355" t="s">
        <v>1688</v>
      </c>
      <c r="B14" s="577" t="s">
        <v>1831</v>
      </c>
      <c r="C14" s="1971">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0" t="s">
        <v>1689</v>
      </c>
      <c r="Q14" s="1352" t="str">
        <f t="shared" si="6"/>
        <v>交通便捷度</v>
      </c>
      <c r="R14" s="705" t="s">
        <v>14</v>
      </c>
      <c r="S14" s="706">
        <f t="shared" si="0"/>
        <v>100</v>
      </c>
      <c r="T14" s="705" t="s">
        <v>14</v>
      </c>
      <c r="U14" s="706">
        <f t="shared" si="1"/>
        <v>100</v>
      </c>
      <c r="V14" s="705" t="s">
        <v>14</v>
      </c>
      <c r="W14" s="706">
        <f t="shared" si="2"/>
        <v>100</v>
      </c>
      <c r="X14" s="1355"/>
      <c r="Y14" s="3680" t="s">
        <v>1689</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1"/>
      <c r="Q15" s="1352"/>
      <c r="R15" s="705"/>
      <c r="S15" s="706"/>
      <c r="T15" s="705"/>
      <c r="U15" s="706"/>
      <c r="V15" s="705"/>
      <c r="W15" s="706"/>
      <c r="X15" s="1355"/>
      <c r="Y15" s="3681"/>
      <c r="Z15" s="1356"/>
      <c r="AA15" s="1353">
        <v>1</v>
      </c>
      <c r="AB15" s="1353">
        <v>1</v>
      </c>
      <c r="AC15" s="1353">
        <v>1</v>
      </c>
    </row>
    <row r="16" spans="1:29" ht="15">
      <c r="A16" s="358"/>
      <c r="B16" s="579" t="s">
        <v>1810</v>
      </c>
      <c r="C16" s="1900">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1"/>
      <c r="Q17" s="1352"/>
      <c r="R17" s="705"/>
      <c r="S17" s="706"/>
      <c r="T17" s="705"/>
      <c r="U17" s="706"/>
      <c r="V17" s="705"/>
      <c r="W17" s="706"/>
      <c r="X17" s="1355"/>
      <c r="Y17" s="3681"/>
      <c r="Z17" s="1356"/>
      <c r="AA17" s="1353">
        <v>1</v>
      </c>
      <c r="AB17" s="1353">
        <v>1</v>
      </c>
      <c r="AC17" s="1353">
        <v>1</v>
      </c>
    </row>
    <row r="18" spans="1:29" ht="15">
      <c r="A18" s="358"/>
      <c r="B18" s="581" t="s">
        <v>1811</v>
      </c>
      <c r="C18" s="1900">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1"/>
      <c r="Q19" s="1352"/>
      <c r="R19" s="705"/>
      <c r="S19" s="706"/>
      <c r="T19" s="705"/>
      <c r="U19" s="706"/>
      <c r="V19" s="705"/>
      <c r="W19" s="706"/>
      <c r="X19" s="1355"/>
      <c r="Y19" s="3681"/>
      <c r="Z19" s="1356"/>
      <c r="AA19" s="1353">
        <v>1</v>
      </c>
      <c r="AB19" s="1353">
        <v>1</v>
      </c>
      <c r="AC19" s="1353">
        <v>1</v>
      </c>
    </row>
    <row r="20" spans="1:29" ht="15">
      <c r="A20" s="358"/>
      <c r="B20" s="579" t="s">
        <v>1832</v>
      </c>
      <c r="C20" s="1900">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1"/>
      <c r="Q21" s="1352"/>
      <c r="R21" s="705"/>
      <c r="S21" s="706"/>
      <c r="T21" s="705"/>
      <c r="U21" s="706"/>
      <c r="V21" s="705"/>
      <c r="W21" s="706"/>
      <c r="X21" s="1355"/>
      <c r="Y21" s="3681"/>
      <c r="Z21" s="1356"/>
      <c r="AA21" s="1353">
        <v>1</v>
      </c>
      <c r="AB21" s="1353">
        <v>1</v>
      </c>
      <c r="AC21" s="1353">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1"/>
      <c r="Q24" s="1352">
        <f t="shared" ref="Q24:Q36"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600" t="s">
        <v>1692</v>
      </c>
      <c r="B26" s="62" t="s">
        <v>1834</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77" t="s">
        <v>1694</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5" t="s">
        <v>1694</v>
      </c>
      <c r="Z26" s="1356" t="str">
        <f t="shared" ref="Z26:Z36" si="15">Q26</f>
        <v>配套类型</v>
      </c>
      <c r="AA26" s="1353" t="e">
        <f t="shared" si="3"/>
        <v>#DIV/0!</v>
      </c>
      <c r="AB26" s="1353" t="e">
        <f t="shared" si="4"/>
        <v>#DIV/0!</v>
      </c>
      <c r="AC26" s="1353"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5"/>
      <c r="Q27" s="707" t="str">
        <f t="shared" si="11"/>
        <v>项目停车位配比</v>
      </c>
      <c r="R27" s="708" t="s">
        <v>14</v>
      </c>
      <c r="S27" s="709">
        <f t="shared" si="12"/>
        <v>100</v>
      </c>
      <c r="T27" s="708" t="s">
        <v>14</v>
      </c>
      <c r="U27" s="709">
        <f t="shared" si="13"/>
        <v>100</v>
      </c>
      <c r="V27" s="708" t="s">
        <v>14</v>
      </c>
      <c r="W27" s="709">
        <f t="shared" si="14"/>
        <v>100</v>
      </c>
      <c r="X27" s="710"/>
      <c r="Y27" s="3685"/>
      <c r="Z27" s="711" t="str">
        <f t="shared" si="15"/>
        <v>项目停车位配比</v>
      </c>
      <c r="AA27" s="1353">
        <f t="shared" si="3"/>
        <v>1</v>
      </c>
      <c r="AB27" s="1353">
        <f t="shared" si="4"/>
        <v>1</v>
      </c>
      <c r="AC27" s="1353">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5"/>
      <c r="Q28" s="1352" t="str">
        <f t="shared" si="11"/>
        <v>公共部分装修</v>
      </c>
      <c r="R28" s="705" t="s">
        <v>14</v>
      </c>
      <c r="S28" s="706">
        <f t="shared" si="12"/>
        <v>100</v>
      </c>
      <c r="T28" s="705" t="s">
        <v>14</v>
      </c>
      <c r="U28" s="706">
        <f t="shared" si="13"/>
        <v>100</v>
      </c>
      <c r="V28" s="705" t="s">
        <v>14</v>
      </c>
      <c r="W28" s="706">
        <f t="shared" si="14"/>
        <v>100</v>
      </c>
      <c r="X28" s="1355"/>
      <c r="Y28" s="3685"/>
      <c r="Z28" s="1356" t="str">
        <f t="shared" si="15"/>
        <v>公共部分装修</v>
      </c>
      <c r="AA28" s="1353">
        <f t="shared" si="3"/>
        <v>1</v>
      </c>
      <c r="AB28" s="1353">
        <f t="shared" si="4"/>
        <v>1</v>
      </c>
      <c r="AC28" s="1353">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5"/>
      <c r="Q29" s="1352" t="str">
        <f t="shared" si="11"/>
        <v>成新率</v>
      </c>
      <c r="R29" s="705" t="s">
        <v>14</v>
      </c>
      <c r="S29" s="706" t="e">
        <f t="shared" si="12"/>
        <v>#N/A</v>
      </c>
      <c r="T29" s="705" t="s">
        <v>14</v>
      </c>
      <c r="U29" s="706" t="e">
        <f t="shared" si="13"/>
        <v>#N/A</v>
      </c>
      <c r="V29" s="705" t="s">
        <v>14</v>
      </c>
      <c r="W29" s="706" t="e">
        <f t="shared" si="14"/>
        <v>#N/A</v>
      </c>
      <c r="X29" s="1355"/>
      <c r="Y29" s="3685"/>
      <c r="Z29" s="1356" t="str">
        <f t="shared" si="15"/>
        <v>成新率</v>
      </c>
      <c r="AA29" s="1353" t="e">
        <f t="shared" si="3"/>
        <v>#N/A</v>
      </c>
      <c r="AB29" s="1353" t="e">
        <f t="shared" si="4"/>
        <v>#N/A</v>
      </c>
      <c r="AC29" s="1353"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5"/>
      <c r="Q30" s="1352" t="str">
        <f t="shared" si="11"/>
        <v>物业等级</v>
      </c>
      <c r="R30" s="705" t="s">
        <v>14</v>
      </c>
      <c r="S30" s="706">
        <f t="shared" si="12"/>
        <v>100</v>
      </c>
      <c r="T30" s="705" t="s">
        <v>14</v>
      </c>
      <c r="U30" s="706">
        <f t="shared" si="13"/>
        <v>100</v>
      </c>
      <c r="V30" s="705" t="s">
        <v>14</v>
      </c>
      <c r="W30" s="706">
        <f t="shared" si="14"/>
        <v>100</v>
      </c>
      <c r="X30" s="1355"/>
      <c r="Y30" s="3685"/>
      <c r="Z30" s="1356" t="str">
        <f t="shared" si="15"/>
        <v>物业等级</v>
      </c>
      <c r="AA30" s="1353">
        <f t="shared" si="3"/>
        <v>1</v>
      </c>
      <c r="AB30" s="1353">
        <f t="shared" si="4"/>
        <v>1</v>
      </c>
      <c r="AC30" s="1353">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5"/>
      <c r="Q31" s="1343" t="str">
        <f t="shared" si="11"/>
        <v>停车位面积</v>
      </c>
      <c r="R31" s="701" t="s">
        <v>14</v>
      </c>
      <c r="S31" s="702" t="e">
        <f t="shared" si="12"/>
        <v>#N/A</v>
      </c>
      <c r="T31" s="701" t="s">
        <v>14</v>
      </c>
      <c r="U31" s="702" t="e">
        <f t="shared" si="13"/>
        <v>#N/A</v>
      </c>
      <c r="V31" s="701" t="s">
        <v>14</v>
      </c>
      <c r="W31" s="702" t="e">
        <f t="shared" si="14"/>
        <v>#N/A</v>
      </c>
      <c r="X31" s="703"/>
      <c r="Y31" s="3685"/>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5" t="s">
        <v>1694</v>
      </c>
      <c r="Q32" s="1352" t="str">
        <f t="shared" si="11"/>
        <v>车位类型</v>
      </c>
      <c r="R32" s="705" t="s">
        <v>14</v>
      </c>
      <c r="S32" s="706">
        <f t="shared" si="12"/>
        <v>100</v>
      </c>
      <c r="T32" s="705" t="s">
        <v>14</v>
      </c>
      <c r="U32" s="706">
        <f t="shared" si="13"/>
        <v>100</v>
      </c>
      <c r="V32" s="705" t="s">
        <v>14</v>
      </c>
      <c r="W32" s="706">
        <f t="shared" si="14"/>
        <v>100</v>
      </c>
      <c r="X32" s="1355"/>
      <c r="Y32" s="3685" t="s">
        <v>1694</v>
      </c>
      <c r="Z32" s="1356" t="str">
        <f t="shared" si="15"/>
        <v>车位类型</v>
      </c>
      <c r="AA32" s="1353">
        <f t="shared" si="3"/>
        <v>1</v>
      </c>
      <c r="AB32" s="1353">
        <f t="shared" si="4"/>
        <v>1</v>
      </c>
      <c r="AC32" s="1353">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5"/>
      <c r="Q33" s="1352" t="str">
        <f t="shared" si="11"/>
        <v>是否直接入户</v>
      </c>
      <c r="R33" s="705" t="s">
        <v>14</v>
      </c>
      <c r="S33" s="706">
        <f t="shared" si="12"/>
        <v>100</v>
      </c>
      <c r="T33" s="705" t="s">
        <v>14</v>
      </c>
      <c r="U33" s="706">
        <f t="shared" si="13"/>
        <v>100</v>
      </c>
      <c r="V33" s="705" t="s">
        <v>14</v>
      </c>
      <c r="W33" s="706">
        <f t="shared" si="14"/>
        <v>100</v>
      </c>
      <c r="X33" s="1355"/>
      <c r="Y33" s="368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5"/>
      <c r="Q35" s="707">
        <f t="shared" si="11"/>
        <v>111</v>
      </c>
      <c r="R35" s="708" t="s">
        <v>14</v>
      </c>
      <c r="S35" s="709">
        <f t="shared" si="12"/>
        <v>100</v>
      </c>
      <c r="T35" s="708" t="s">
        <v>14</v>
      </c>
      <c r="U35" s="709">
        <f t="shared" si="13"/>
        <v>100</v>
      </c>
      <c r="V35" s="708" t="s">
        <v>14</v>
      </c>
      <c r="W35" s="709">
        <f t="shared" si="14"/>
        <v>100</v>
      </c>
      <c r="X35" s="710"/>
      <c r="Y35" s="368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5"/>
      <c r="Q36" s="1352">
        <f t="shared" si="11"/>
        <v>111</v>
      </c>
      <c r="R36" s="705" t="s">
        <v>14</v>
      </c>
      <c r="S36" s="706">
        <f t="shared" si="12"/>
        <v>100</v>
      </c>
      <c r="T36" s="705" t="s">
        <v>14</v>
      </c>
      <c r="U36" s="706">
        <f t="shared" si="13"/>
        <v>100</v>
      </c>
      <c r="V36" s="705" t="s">
        <v>14</v>
      </c>
      <c r="W36" s="706">
        <f t="shared" si="14"/>
        <v>100</v>
      </c>
      <c r="X36" s="1355"/>
      <c r="Y36" s="3685"/>
      <c r="Z36" s="1356">
        <f t="shared" si="15"/>
        <v>111</v>
      </c>
      <c r="AA36" s="1353">
        <f t="shared" si="3"/>
        <v>1</v>
      </c>
      <c r="AB36" s="1353">
        <f t="shared" si="4"/>
        <v>1</v>
      </c>
      <c r="AC36" s="1353">
        <f t="shared" si="5"/>
        <v>1</v>
      </c>
    </row>
    <row r="37" spans="1:29" ht="15">
      <c r="A37" s="430" t="s">
        <v>1842</v>
      </c>
      <c r="B37" s="1973" t="s">
        <v>3347</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1843</v>
      </c>
      <c r="B38" s="438" t="str">
        <f>B37</f>
        <v>元/平方米</v>
      </c>
      <c r="C38" s="1160" t="e">
        <f>R39</f>
        <v>#DIV/0!</v>
      </c>
      <c r="D38" s="2317" t="s">
        <v>2136</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1844</v>
      </c>
      <c r="B39" s="442"/>
      <c r="C39" s="1163" t="e">
        <f>R39</f>
        <v>#DIV/0!</v>
      </c>
      <c r="D39" s="1163"/>
      <c r="E39" s="1163"/>
      <c r="F39" s="1163"/>
      <c r="G39" s="1163"/>
      <c r="H39" s="1163"/>
      <c r="I39" s="1163"/>
      <c r="J39" s="1163"/>
      <c r="K39" s="569"/>
      <c r="L39" s="2724"/>
      <c r="M39" s="2725"/>
      <c r="N39" s="2725"/>
      <c r="O39" s="2725"/>
      <c r="P39" s="3675" t="str">
        <f>A39</f>
        <v>估价对象XX用房的比较价值（楼面单价，元/平方米）</v>
      </c>
      <c r="Q39" s="3676"/>
      <c r="R39" s="3778" t="e">
        <f>IF(F1="售价",ROUND(IF(D38="简单平均",AVERAGE(R38:W38),R38*F38+T38*H38+V38*J38),0),ROUND(IF(D38="简单平均",AVERAGE(R38:V38),R38*F38+T38*H38+V38*J38),1))</f>
        <v>#DIV/0!</v>
      </c>
      <c r="S39" s="3778"/>
      <c r="T39" s="3778"/>
      <c r="U39" s="3778"/>
      <c r="V39" s="3778"/>
      <c r="W39" s="377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1848</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1849</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1714</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1679</v>
      </c>
      <c r="B51" s="459"/>
      <c r="C51" s="471" t="s">
        <v>1774</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1717</v>
      </c>
      <c r="B53" s="477" t="s">
        <v>1683</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1686</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1725</v>
      </c>
      <c r="C65" s="527" t="s">
        <v>1719</v>
      </c>
      <c r="D65" s="527" t="s">
        <v>1720</v>
      </c>
      <c r="E65" s="527" t="s">
        <v>1721</v>
      </c>
      <c r="F65" s="527" t="s">
        <v>1722</v>
      </c>
      <c r="G65" s="527" t="s">
        <v>1723</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1811</v>
      </c>
      <c r="C67" s="608" t="s">
        <v>1797</v>
      </c>
      <c r="D67" s="608" t="s">
        <v>1798</v>
      </c>
      <c r="E67" s="608" t="s">
        <v>1799</v>
      </c>
      <c r="F67" s="608" t="s">
        <v>1800</v>
      </c>
      <c r="G67" s="608" t="s">
        <v>1801</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1731</v>
      </c>
      <c r="C69" s="527" t="s">
        <v>1719</v>
      </c>
      <c r="D69" s="527" t="s">
        <v>1720</v>
      </c>
      <c r="E69" s="527" t="s">
        <v>1721</v>
      </c>
      <c r="F69" s="527" t="s">
        <v>1722</v>
      </c>
      <c r="G69" s="527" t="s">
        <v>1723</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1850</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1692</v>
      </c>
      <c r="B79" s="477" t="s">
        <v>1851</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1852</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1738</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1854</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1856</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1857</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1829</v>
      </c>
      <c r="B1" s="1223" t="s">
        <v>3327</v>
      </c>
      <c r="C1" s="1224" t="s">
        <v>1660</v>
      </c>
      <c r="D1" s="1225"/>
      <c r="E1" s="3433"/>
      <c r="F1" s="1879"/>
      <c r="G1" s="1235" t="s">
        <v>1765</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1460</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1461</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92" t="s">
        <v>1768</v>
      </c>
      <c r="D4" s="3693"/>
      <c r="E4" s="3694" t="s">
        <v>1769</v>
      </c>
      <c r="F4" s="3695"/>
      <c r="G4" s="3692" t="s">
        <v>1770</v>
      </c>
      <c r="H4" s="3693"/>
      <c r="I4" s="3692" t="s">
        <v>1771</v>
      </c>
      <c r="J4" s="3693"/>
      <c r="K4" s="559" t="s">
        <v>1772</v>
      </c>
      <c r="L4" s="2715"/>
      <c r="M4" s="2716"/>
      <c r="N4" s="2716"/>
      <c r="O4" s="2716"/>
      <c r="P4" s="3696" t="s">
        <v>1773</v>
      </c>
      <c r="Q4" s="3697"/>
      <c r="R4" s="3702" t="s">
        <v>1769</v>
      </c>
      <c r="S4" s="3703"/>
      <c r="T4" s="3702" t="s">
        <v>1770</v>
      </c>
      <c r="U4" s="3703"/>
      <c r="V4" s="3687" t="s">
        <v>1771</v>
      </c>
      <c r="W4" s="3687"/>
      <c r="X4" s="1355"/>
      <c r="Y4" s="3702" t="s">
        <v>1773</v>
      </c>
      <c r="Z4" s="3703"/>
      <c r="AA4" s="3689" t="s">
        <v>1769</v>
      </c>
      <c r="AB4" s="3690" t="s">
        <v>1770</v>
      </c>
      <c r="AC4" s="3689" t="s">
        <v>1771</v>
      </c>
    </row>
    <row r="5" spans="1:29" ht="15">
      <c r="A5" s="358"/>
      <c r="B5" s="359"/>
      <c r="C5" s="3710" t="s">
        <v>1671</v>
      </c>
      <c r="D5" s="3711"/>
      <c r="E5" s="3717" t="s">
        <v>1672</v>
      </c>
      <c r="F5" s="3718"/>
      <c r="G5" s="3710" t="s">
        <v>1673</v>
      </c>
      <c r="H5" s="3711"/>
      <c r="I5" s="3710" t="s">
        <v>1674</v>
      </c>
      <c r="J5" s="3711"/>
      <c r="K5" s="559"/>
      <c r="L5" s="2715"/>
      <c r="M5" s="2716"/>
      <c r="N5" s="2716"/>
      <c r="O5" s="2716"/>
      <c r="P5" s="3698"/>
      <c r="Q5" s="3699"/>
      <c r="R5" s="3704"/>
      <c r="S5" s="3705"/>
      <c r="T5" s="3704"/>
      <c r="U5" s="3705"/>
      <c r="V5" s="3687"/>
      <c r="W5" s="3687"/>
      <c r="X5" s="1355"/>
      <c r="Y5" s="3704"/>
      <c r="Z5" s="3705"/>
      <c r="AA5" s="3690"/>
      <c r="AB5" s="3690"/>
      <c r="AC5" s="3690"/>
    </row>
    <row r="6" spans="1:29" ht="15.75" thickBot="1">
      <c r="A6" s="360"/>
      <c r="B6" s="361"/>
      <c r="C6" s="3708" t="s">
        <v>1675</v>
      </c>
      <c r="D6" s="3709"/>
      <c r="E6" s="3715" t="s">
        <v>1675</v>
      </c>
      <c r="F6" s="3716"/>
      <c r="G6" s="3708" t="s">
        <v>1675</v>
      </c>
      <c r="H6" s="3709"/>
      <c r="I6" s="3708" t="s">
        <v>1675</v>
      </c>
      <c r="J6" s="3709"/>
      <c r="K6" s="559" t="s">
        <v>1676</v>
      </c>
      <c r="L6" s="2715"/>
      <c r="M6" s="2716"/>
      <c r="N6" s="2716"/>
      <c r="O6" s="2716"/>
      <c r="P6" s="3700"/>
      <c r="Q6" s="3701"/>
      <c r="R6" s="3704"/>
      <c r="S6" s="3705"/>
      <c r="T6" s="3706"/>
      <c r="U6" s="3707"/>
      <c r="V6" s="3687"/>
      <c r="W6" s="3687"/>
      <c r="X6" s="1355"/>
      <c r="Y6" s="3706"/>
      <c r="Z6" s="3707"/>
      <c r="AA6" s="3691"/>
      <c r="AB6" s="3691"/>
      <c r="AC6" s="3691"/>
    </row>
    <row r="7" spans="1:29" s="108" customFormat="1" ht="15.75" thickBot="1">
      <c r="A7" s="362" t="s">
        <v>1677</v>
      </c>
      <c r="B7" s="363"/>
      <c r="C7" s="364">
        <f>'数据-取费表'!B2</f>
        <v>45485</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12" t="s">
        <v>1678</v>
      </c>
      <c r="Q7" s="3714"/>
      <c r="R7" s="701" t="s">
        <v>14</v>
      </c>
      <c r="S7" s="702">
        <f t="shared" ref="S7:S14" si="0">F7</f>
        <v>0</v>
      </c>
      <c r="T7" s="701" t="s">
        <v>14</v>
      </c>
      <c r="U7" s="702">
        <f t="shared" ref="U7:U14" si="1">H7</f>
        <v>0</v>
      </c>
      <c r="V7" s="701" t="s">
        <v>14</v>
      </c>
      <c r="W7" s="702">
        <f t="shared" ref="W7:W14" si="2">J7</f>
        <v>0</v>
      </c>
      <c r="X7" s="703"/>
      <c r="Y7" s="3712" t="s">
        <v>1678</v>
      </c>
      <c r="Z7" s="3713"/>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12" t="s">
        <v>1681</v>
      </c>
      <c r="Q8" s="3713"/>
      <c r="R8" s="701" t="s">
        <v>14</v>
      </c>
      <c r="S8" s="702">
        <f t="shared" si="0"/>
        <v>100</v>
      </c>
      <c r="T8" s="701" t="s">
        <v>14</v>
      </c>
      <c r="U8" s="702">
        <f t="shared" si="1"/>
        <v>100</v>
      </c>
      <c r="V8" s="701" t="s">
        <v>14</v>
      </c>
      <c r="W8" s="702">
        <f t="shared" si="2"/>
        <v>100</v>
      </c>
      <c r="X8" s="703"/>
      <c r="Y8" s="3712" t="s">
        <v>1681</v>
      </c>
      <c r="Z8" s="3713"/>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1684</v>
      </c>
      <c r="Q9" s="1343" t="str">
        <f t="shared" ref="Q9:Q14" si="6">B9</f>
        <v>用途</v>
      </c>
      <c r="R9" s="701" t="s">
        <v>14</v>
      </c>
      <c r="S9" s="702">
        <f t="shared" si="0"/>
        <v>100</v>
      </c>
      <c r="T9" s="701" t="s">
        <v>14</v>
      </c>
      <c r="U9" s="702">
        <f t="shared" si="1"/>
        <v>100</v>
      </c>
      <c r="V9" s="701" t="s">
        <v>14</v>
      </c>
      <c r="W9" s="702">
        <f t="shared" si="2"/>
        <v>100</v>
      </c>
      <c r="X9" s="703"/>
      <c r="Y9" s="3575" t="s">
        <v>1685</v>
      </c>
      <c r="Z9" s="52" t="str">
        <f t="shared" ref="Z9:Z14" si="7">Q9</f>
        <v>用途</v>
      </c>
      <c r="AA9" s="704">
        <f t="shared" si="3"/>
        <v>1</v>
      </c>
      <c r="AB9" s="704">
        <f t="shared" si="4"/>
        <v>1</v>
      </c>
      <c r="AC9" s="704">
        <f t="shared" si="5"/>
        <v>1</v>
      </c>
    </row>
    <row r="10" spans="1:29" s="378" customFormat="1" ht="27">
      <c r="A10" s="374"/>
      <c r="B10" s="375" t="s">
        <v>1686</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7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7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
      <c r="A14" s="391" t="s">
        <v>1688</v>
      </c>
      <c r="B14" s="61" t="s">
        <v>1831</v>
      </c>
      <c r="C14" s="1971">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0" t="s">
        <v>1689</v>
      </c>
      <c r="Q14" s="1352" t="str">
        <f t="shared" si="6"/>
        <v>交通便捷度</v>
      </c>
      <c r="R14" s="705" t="s">
        <v>14</v>
      </c>
      <c r="S14" s="706">
        <f t="shared" si="0"/>
        <v>100</v>
      </c>
      <c r="T14" s="705" t="s">
        <v>14</v>
      </c>
      <c r="U14" s="706">
        <f t="shared" si="1"/>
        <v>100</v>
      </c>
      <c r="V14" s="705" t="s">
        <v>14</v>
      </c>
      <c r="W14" s="706">
        <f t="shared" si="2"/>
        <v>100</v>
      </c>
      <c r="X14" s="1355"/>
      <c r="Y14" s="3680" t="s">
        <v>1689</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1"/>
      <c r="Q15" s="1352"/>
      <c r="R15" s="705"/>
      <c r="S15" s="706"/>
      <c r="T15" s="705"/>
      <c r="U15" s="706"/>
      <c r="V15" s="705"/>
      <c r="W15" s="706"/>
      <c r="X15" s="1355"/>
      <c r="Y15" s="3681"/>
      <c r="Z15" s="1356"/>
      <c r="AA15" s="1353">
        <v>1</v>
      </c>
      <c r="AB15" s="1353">
        <v>1</v>
      </c>
      <c r="AC15" s="1353">
        <v>1</v>
      </c>
    </row>
    <row r="16" spans="1:29" ht="15">
      <c r="A16" s="379"/>
      <c r="B16" s="402" t="s">
        <v>1810</v>
      </c>
      <c r="C16" s="1900">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1"/>
      <c r="Q16" s="1352" t="str">
        <f>B16</f>
        <v>公共配套设施</v>
      </c>
      <c r="R16" s="705" t="s">
        <v>14</v>
      </c>
      <c r="S16" s="706">
        <f>F16</f>
        <v>100</v>
      </c>
      <c r="T16" s="705" t="s">
        <v>14</v>
      </c>
      <c r="U16" s="706">
        <f>H16</f>
        <v>100</v>
      </c>
      <c r="V16" s="705" t="s">
        <v>14</v>
      </c>
      <c r="W16" s="706">
        <f>J16</f>
        <v>100</v>
      </c>
      <c r="X16" s="1355"/>
      <c r="Y16" s="368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1"/>
      <c r="Q17" s="1352"/>
      <c r="R17" s="705"/>
      <c r="S17" s="706"/>
      <c r="T17" s="705"/>
      <c r="U17" s="706"/>
      <c r="V17" s="705"/>
      <c r="W17" s="706"/>
      <c r="X17" s="1355"/>
      <c r="Y17" s="3681"/>
      <c r="Z17" s="1356"/>
      <c r="AA17" s="1353">
        <v>1</v>
      </c>
      <c r="AB17" s="1353">
        <v>1</v>
      </c>
      <c r="AC17" s="1353">
        <v>1</v>
      </c>
    </row>
    <row r="18" spans="1:29" ht="15">
      <c r="A18" s="379"/>
      <c r="B18" s="1131" t="s">
        <v>1811</v>
      </c>
      <c r="C18" s="1900">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1"/>
      <c r="Q18" s="1352" t="str">
        <f>B18</f>
        <v>基础设施水平</v>
      </c>
      <c r="R18" s="705" t="s">
        <v>14</v>
      </c>
      <c r="S18" s="706">
        <f>F18</f>
        <v>100</v>
      </c>
      <c r="T18" s="705" t="s">
        <v>14</v>
      </c>
      <c r="U18" s="706">
        <f>H18</f>
        <v>100</v>
      </c>
      <c r="V18" s="705" t="s">
        <v>14</v>
      </c>
      <c r="W18" s="706">
        <f>J18</f>
        <v>100</v>
      </c>
      <c r="X18" s="1355"/>
      <c r="Y18" s="368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1"/>
      <c r="Q19" s="1352"/>
      <c r="R19" s="705"/>
      <c r="S19" s="706"/>
      <c r="T19" s="705"/>
      <c r="U19" s="706"/>
      <c r="V19" s="705"/>
      <c r="W19" s="706"/>
      <c r="X19" s="1355"/>
      <c r="Y19" s="3681"/>
      <c r="Z19" s="1356"/>
      <c r="AA19" s="1353">
        <v>1</v>
      </c>
      <c r="AB19" s="1353">
        <v>1</v>
      </c>
      <c r="AC19" s="1353">
        <v>1</v>
      </c>
    </row>
    <row r="20" spans="1:29" ht="15">
      <c r="A20" s="379"/>
      <c r="B20" s="402" t="s">
        <v>1832</v>
      </c>
      <c r="C20" s="1900">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1"/>
      <c r="Q20" s="1352" t="str">
        <f>B20</f>
        <v>自然及人文环境</v>
      </c>
      <c r="R20" s="705" t="s">
        <v>14</v>
      </c>
      <c r="S20" s="706">
        <f>F20</f>
        <v>100</v>
      </c>
      <c r="T20" s="705" t="s">
        <v>14</v>
      </c>
      <c r="U20" s="706">
        <f>H20</f>
        <v>100</v>
      </c>
      <c r="V20" s="705" t="s">
        <v>14</v>
      </c>
      <c r="W20" s="706">
        <f>J20</f>
        <v>100</v>
      </c>
      <c r="X20" s="1355"/>
      <c r="Y20" s="368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1"/>
      <c r="Q21" s="1352"/>
      <c r="R21" s="705"/>
      <c r="S21" s="706"/>
      <c r="T21" s="705"/>
      <c r="U21" s="706"/>
      <c r="V21" s="705"/>
      <c r="W21" s="706"/>
      <c r="X21" s="1355"/>
      <c r="Y21" s="3681"/>
      <c r="Z21" s="1356"/>
      <c r="AA21" s="1353">
        <v>1</v>
      </c>
      <c r="AB21" s="1353">
        <v>1</v>
      </c>
      <c r="AC21" s="1353">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1"/>
      <c r="Q22" s="1352" t="str">
        <f>B22</f>
        <v>楼层</v>
      </c>
      <c r="R22" s="705" t="s">
        <v>14</v>
      </c>
      <c r="S22" s="706">
        <f>F22</f>
        <v>100</v>
      </c>
      <c r="T22" s="705" t="s">
        <v>14</v>
      </c>
      <c r="U22" s="706">
        <f>H22</f>
        <v>100</v>
      </c>
      <c r="V22" s="705" t="s">
        <v>14</v>
      </c>
      <c r="W22" s="706">
        <f>J22</f>
        <v>100</v>
      </c>
      <c r="X22" s="1355"/>
      <c r="Y22" s="368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1"/>
      <c r="Q23" s="1352">
        <f>B23</f>
        <v>111</v>
      </c>
      <c r="R23" s="705" t="s">
        <v>14</v>
      </c>
      <c r="S23" s="706">
        <f>F23</f>
        <v>100</v>
      </c>
      <c r="T23" s="705" t="s">
        <v>14</v>
      </c>
      <c r="U23" s="706">
        <f>H23</f>
        <v>100</v>
      </c>
      <c r="V23" s="705" t="s">
        <v>14</v>
      </c>
      <c r="W23" s="706">
        <f>J23</f>
        <v>100</v>
      </c>
      <c r="X23" s="1355"/>
      <c r="Y23" s="368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1"/>
      <c r="Q24" s="1352">
        <f t="shared" ref="Q24:Q34" si="11">B24</f>
        <v>111</v>
      </c>
      <c r="R24" s="705" t="s">
        <v>14</v>
      </c>
      <c r="S24" s="706">
        <f>F24</f>
        <v>100</v>
      </c>
      <c r="T24" s="705" t="s">
        <v>14</v>
      </c>
      <c r="U24" s="706">
        <f>H24</f>
        <v>100</v>
      </c>
      <c r="V24" s="705" t="s">
        <v>14</v>
      </c>
      <c r="W24" s="706">
        <f>J24</f>
        <v>100</v>
      </c>
      <c r="X24" s="1355"/>
      <c r="Y24" s="368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1"/>
      <c r="Q25" s="1343">
        <f t="shared" si="11"/>
        <v>111</v>
      </c>
      <c r="R25" s="701" t="s">
        <v>14</v>
      </c>
      <c r="S25" s="702">
        <f>F25</f>
        <v>100</v>
      </c>
      <c r="T25" s="701" t="s">
        <v>14</v>
      </c>
      <c r="U25" s="702">
        <f>H25</f>
        <v>100</v>
      </c>
      <c r="V25" s="701" t="s">
        <v>14</v>
      </c>
      <c r="W25" s="702">
        <f>J25</f>
        <v>100</v>
      </c>
      <c r="X25" s="703"/>
      <c r="Y25" s="3681"/>
      <c r="Z25" s="52">
        <f>Q25</f>
        <v>111</v>
      </c>
      <c r="AA25" s="1353">
        <f>D25/F25</f>
        <v>1</v>
      </c>
      <c r="AB25" s="1353">
        <f>D25/H25</f>
        <v>1</v>
      </c>
      <c r="AC25" s="1353">
        <f>D25/J25</f>
        <v>1</v>
      </c>
    </row>
    <row r="26" spans="1:29" ht="28.5">
      <c r="A26" s="417" t="s">
        <v>1692</v>
      </c>
      <c r="B26" s="63" t="s">
        <v>1836</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77" t="s">
        <v>1694</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5" t="s">
        <v>1694</v>
      </c>
      <c r="Z26" s="1356" t="str">
        <f t="shared" ref="Z26:Z34" si="15">Q26</f>
        <v>公共部分装修</v>
      </c>
      <c r="AA26" s="1353">
        <f t="shared" si="3"/>
        <v>1</v>
      </c>
      <c r="AB26" s="1353">
        <f t="shared" si="4"/>
        <v>1</v>
      </c>
      <c r="AC26" s="1353">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5"/>
      <c r="Q27" s="707" t="str">
        <f t="shared" si="11"/>
        <v>成新率</v>
      </c>
      <c r="R27" s="708" t="s">
        <v>14</v>
      </c>
      <c r="S27" s="709" t="e">
        <f t="shared" si="12"/>
        <v>#N/A</v>
      </c>
      <c r="T27" s="708" t="s">
        <v>14</v>
      </c>
      <c r="U27" s="709" t="e">
        <f t="shared" si="13"/>
        <v>#N/A</v>
      </c>
      <c r="V27" s="708" t="s">
        <v>14</v>
      </c>
      <c r="W27" s="709" t="e">
        <f t="shared" si="14"/>
        <v>#N/A</v>
      </c>
      <c r="X27" s="710"/>
      <c r="Y27" s="3685"/>
      <c r="Z27" s="711" t="str">
        <f t="shared" si="15"/>
        <v>成新率</v>
      </c>
      <c r="AA27" s="1353" t="e">
        <f t="shared" si="3"/>
        <v>#N/A</v>
      </c>
      <c r="AB27" s="1353" t="e">
        <f t="shared" si="4"/>
        <v>#N/A</v>
      </c>
      <c r="AC27" s="1353"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5"/>
      <c r="Q28" s="1352" t="str">
        <f t="shared" si="11"/>
        <v>物业等级</v>
      </c>
      <c r="R28" s="705" t="s">
        <v>14</v>
      </c>
      <c r="S28" s="706">
        <f t="shared" si="12"/>
        <v>100</v>
      </c>
      <c r="T28" s="705" t="s">
        <v>14</v>
      </c>
      <c r="U28" s="706">
        <f t="shared" si="13"/>
        <v>100</v>
      </c>
      <c r="V28" s="705" t="s">
        <v>14</v>
      </c>
      <c r="W28" s="706">
        <f t="shared" si="14"/>
        <v>100</v>
      </c>
      <c r="X28" s="1355"/>
      <c r="Y28" s="3685"/>
      <c r="Z28" s="1356" t="str">
        <f t="shared" si="15"/>
        <v>物业等级</v>
      </c>
      <c r="AA28" s="1353">
        <f t="shared" si="3"/>
        <v>1</v>
      </c>
      <c r="AB28" s="1353">
        <f t="shared" si="4"/>
        <v>1</v>
      </c>
      <c r="AC28" s="1353">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5"/>
      <c r="Q29" s="1352" t="str">
        <f t="shared" si="11"/>
        <v>有无电梯</v>
      </c>
      <c r="R29" s="705" t="s">
        <v>14</v>
      </c>
      <c r="S29" s="706">
        <f t="shared" si="12"/>
        <v>100</v>
      </c>
      <c r="T29" s="705" t="s">
        <v>14</v>
      </c>
      <c r="U29" s="706">
        <f t="shared" si="13"/>
        <v>100</v>
      </c>
      <c r="V29" s="705" t="s">
        <v>14</v>
      </c>
      <c r="W29" s="706">
        <f t="shared" si="14"/>
        <v>100</v>
      </c>
      <c r="X29" s="1355"/>
      <c r="Y29" s="3685"/>
      <c r="Z29" s="1356" t="str">
        <f t="shared" si="15"/>
        <v>有无电梯</v>
      </c>
      <c r="AA29" s="1353">
        <f t="shared" si="3"/>
        <v>1</v>
      </c>
      <c r="AB29" s="1353">
        <f t="shared" si="4"/>
        <v>1</v>
      </c>
      <c r="AC29" s="1353">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5"/>
      <c r="Q30" s="1352" t="str">
        <f t="shared" si="11"/>
        <v>建筑面积</v>
      </c>
      <c r="R30" s="705" t="s">
        <v>14</v>
      </c>
      <c r="S30" s="706" t="e">
        <f t="shared" si="12"/>
        <v>#N/A</v>
      </c>
      <c r="T30" s="705" t="s">
        <v>14</v>
      </c>
      <c r="U30" s="706" t="e">
        <f t="shared" si="13"/>
        <v>#N/A</v>
      </c>
      <c r="V30" s="705" t="s">
        <v>14</v>
      </c>
      <c r="W30" s="706" t="e">
        <f t="shared" si="14"/>
        <v>#N/A</v>
      </c>
      <c r="X30" s="1355"/>
      <c r="Y30" s="3685"/>
      <c r="Z30" s="1356" t="str">
        <f t="shared" si="15"/>
        <v>建筑面积</v>
      </c>
      <c r="AA30" s="1353" t="e">
        <f t="shared" si="3"/>
        <v>#N/A</v>
      </c>
      <c r="AB30" s="1353" t="e">
        <f t="shared" si="4"/>
        <v>#N/A</v>
      </c>
      <c r="AC30" s="1353"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5"/>
      <c r="Q31" s="1343" t="str">
        <f t="shared" si="11"/>
        <v>是否封闭</v>
      </c>
      <c r="R31" s="701" t="s">
        <v>14</v>
      </c>
      <c r="S31" s="702">
        <f t="shared" si="12"/>
        <v>100</v>
      </c>
      <c r="T31" s="701" t="s">
        <v>14</v>
      </c>
      <c r="U31" s="702">
        <f t="shared" si="13"/>
        <v>100</v>
      </c>
      <c r="V31" s="701" t="s">
        <v>14</v>
      </c>
      <c r="W31" s="702">
        <f t="shared" si="14"/>
        <v>100</v>
      </c>
      <c r="X31" s="703"/>
      <c r="Y31" s="368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5" t="s">
        <v>1694</v>
      </c>
      <c r="Q32" s="1352">
        <f t="shared" si="11"/>
        <v>111</v>
      </c>
      <c r="R32" s="705" t="s">
        <v>14</v>
      </c>
      <c r="S32" s="706">
        <f t="shared" si="12"/>
        <v>100</v>
      </c>
      <c r="T32" s="705" t="s">
        <v>14</v>
      </c>
      <c r="U32" s="706">
        <f t="shared" si="13"/>
        <v>100</v>
      </c>
      <c r="V32" s="705" t="s">
        <v>14</v>
      </c>
      <c r="W32" s="706">
        <f t="shared" si="14"/>
        <v>100</v>
      </c>
      <c r="X32" s="1355"/>
      <c r="Y32" s="3685" t="s">
        <v>1694</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5"/>
      <c r="Q33" s="1352">
        <f t="shared" si="11"/>
        <v>111</v>
      </c>
      <c r="R33" s="705" t="s">
        <v>14</v>
      </c>
      <c r="S33" s="706">
        <f t="shared" si="12"/>
        <v>100</v>
      </c>
      <c r="T33" s="705" t="s">
        <v>14</v>
      </c>
      <c r="U33" s="706">
        <f t="shared" si="13"/>
        <v>100</v>
      </c>
      <c r="V33" s="705" t="s">
        <v>14</v>
      </c>
      <c r="W33" s="706">
        <f t="shared" si="14"/>
        <v>100</v>
      </c>
      <c r="X33" s="1355"/>
      <c r="Y33" s="368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5"/>
      <c r="Q34" s="1352">
        <f t="shared" si="11"/>
        <v>111</v>
      </c>
      <c r="R34" s="705" t="s">
        <v>14</v>
      </c>
      <c r="S34" s="706">
        <f t="shared" si="12"/>
        <v>100</v>
      </c>
      <c r="T34" s="705" t="s">
        <v>14</v>
      </c>
      <c r="U34" s="706">
        <f t="shared" si="13"/>
        <v>100</v>
      </c>
      <c r="V34" s="705" t="s">
        <v>14</v>
      </c>
      <c r="W34" s="706">
        <f t="shared" si="14"/>
        <v>100</v>
      </c>
      <c r="X34" s="1355"/>
      <c r="Y34" s="3685"/>
      <c r="Z34" s="1356">
        <f t="shared" si="15"/>
        <v>111</v>
      </c>
      <c r="AA34" s="1353">
        <f t="shared" si="3"/>
        <v>1</v>
      </c>
      <c r="AB34" s="1353">
        <f t="shared" si="4"/>
        <v>1</v>
      </c>
      <c r="AC34" s="1353">
        <f t="shared" si="5"/>
        <v>1</v>
      </c>
    </row>
    <row r="35" spans="1:30" ht="15">
      <c r="A35" s="430" t="s">
        <v>1706</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1791</v>
      </c>
      <c r="B36" s="438"/>
      <c r="C36" s="1160" t="e">
        <f>R37</f>
        <v>#DIV/0!</v>
      </c>
      <c r="D36" s="2317" t="s">
        <v>2136</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1792</v>
      </c>
      <c r="B37" s="442"/>
      <c r="C37" s="1163" t="e">
        <f>R37</f>
        <v>#DIV/0!</v>
      </c>
      <c r="D37" s="1163"/>
      <c r="E37" s="1163"/>
      <c r="F37" s="1163"/>
      <c r="G37" s="1163"/>
      <c r="H37" s="1163"/>
      <c r="I37" s="1163"/>
      <c r="J37" s="1163"/>
      <c r="K37" s="715"/>
      <c r="L37" s="2724"/>
      <c r="M37" s="2725"/>
      <c r="N37" s="2725"/>
      <c r="O37" s="2725"/>
      <c r="P37" s="3675" t="str">
        <f>A37</f>
        <v>估价对象XX用房的比较价值（楼面单价，元/平方米）</v>
      </c>
      <c r="Q37" s="3676"/>
      <c r="R37" s="3778" t="e">
        <f>IF(F1="售价",ROUND(IF(D36="简单平均",AVERAGE(R36:W36),R36*F36+T36*H36+V36*J36),0),ROUND(IF(D36="简单平均",AVERAGE(R36:V36),R36*F36+T36*H36+V36*J36),1))</f>
        <v>#DIV/0!</v>
      </c>
      <c r="S37" s="3778"/>
      <c r="T37" s="3778"/>
      <c r="U37" s="3778"/>
      <c r="V37" s="3778"/>
      <c r="W37" s="377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1796</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1677</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1714</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1679</v>
      </c>
      <c r="B49" s="459"/>
      <c r="C49" s="471" t="s">
        <v>1774</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1717</v>
      </c>
      <c r="B51" s="477" t="s">
        <v>1683</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1686</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1861</v>
      </c>
      <c r="C63" s="527" t="s">
        <v>1719</v>
      </c>
      <c r="D63" s="527" t="s">
        <v>1720</v>
      </c>
      <c r="E63" s="527" t="s">
        <v>1721</v>
      </c>
      <c r="F63" s="527" t="s">
        <v>1722</v>
      </c>
      <c r="G63" s="527" t="s">
        <v>1723</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1811</v>
      </c>
      <c r="C65" s="608" t="s">
        <v>1797</v>
      </c>
      <c r="D65" s="608" t="s">
        <v>1798</v>
      </c>
      <c r="E65" s="608" t="s">
        <v>1799</v>
      </c>
      <c r="F65" s="608" t="s">
        <v>1800</v>
      </c>
      <c r="G65" s="608" t="s">
        <v>1801</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1731</v>
      </c>
      <c r="C67" s="527" t="s">
        <v>1719</v>
      </c>
      <c r="D67" s="527" t="s">
        <v>1720</v>
      </c>
      <c r="E67" s="527" t="s">
        <v>1721</v>
      </c>
      <c r="F67" s="527" t="s">
        <v>1722</v>
      </c>
      <c r="G67" s="527" t="s">
        <v>1723</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1850</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1692</v>
      </c>
      <c r="B77" s="477" t="s">
        <v>1738</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1854</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1862</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1864</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1767</v>
      </c>
      <c r="B4" s="356"/>
      <c r="C4" s="3692" t="s">
        <v>1768</v>
      </c>
      <c r="D4" s="3693"/>
      <c r="E4" s="3694" t="s">
        <v>1769</v>
      </c>
      <c r="F4" s="3695"/>
      <c r="G4" s="3692" t="s">
        <v>1770</v>
      </c>
      <c r="H4" s="3693"/>
      <c r="I4" s="3692" t="s">
        <v>1771</v>
      </c>
      <c r="J4" s="3693"/>
      <c r="K4" s="559" t="s">
        <v>1772</v>
      </c>
      <c r="L4" s="2715"/>
      <c r="M4" s="2716"/>
      <c r="N4" s="2716"/>
      <c r="O4" s="2716"/>
      <c r="P4" s="3696" t="s">
        <v>1773</v>
      </c>
      <c r="Q4" s="3697"/>
      <c r="R4" s="3702" t="s">
        <v>1769</v>
      </c>
      <c r="S4" s="3703"/>
      <c r="T4" s="3702" t="s">
        <v>1770</v>
      </c>
      <c r="U4" s="3703"/>
      <c r="V4" s="3687" t="s">
        <v>1771</v>
      </c>
      <c r="W4" s="3687"/>
      <c r="X4" s="1355"/>
      <c r="Y4" s="3702" t="s">
        <v>1773</v>
      </c>
      <c r="Z4" s="3703"/>
      <c r="AA4" s="3689" t="s">
        <v>1769</v>
      </c>
      <c r="AB4" s="3690" t="s">
        <v>1770</v>
      </c>
      <c r="AC4" s="3689" t="s">
        <v>1771</v>
      </c>
    </row>
    <row r="5" spans="1:30" ht="15">
      <c r="A5" s="358"/>
      <c r="B5" s="359"/>
      <c r="C5" s="3710" t="s">
        <v>1671</v>
      </c>
      <c r="D5" s="3711"/>
      <c r="E5" s="3717" t="s">
        <v>1672</v>
      </c>
      <c r="F5" s="3718"/>
      <c r="G5" s="3710" t="s">
        <v>1673</v>
      </c>
      <c r="H5" s="3711"/>
      <c r="I5" s="3710" t="s">
        <v>1674</v>
      </c>
      <c r="J5" s="3711"/>
      <c r="K5" s="559"/>
      <c r="L5" s="2715"/>
      <c r="M5" s="2716"/>
      <c r="N5" s="2716"/>
      <c r="O5" s="2716"/>
      <c r="P5" s="3698"/>
      <c r="Q5" s="3699"/>
      <c r="R5" s="3704"/>
      <c r="S5" s="3705"/>
      <c r="T5" s="3704"/>
      <c r="U5" s="3705"/>
      <c r="V5" s="3687"/>
      <c r="W5" s="3687"/>
      <c r="X5" s="1355"/>
      <c r="Y5" s="3704"/>
      <c r="Z5" s="3705"/>
      <c r="AA5" s="3690"/>
      <c r="AB5" s="3690"/>
      <c r="AC5" s="3690"/>
    </row>
    <row r="6" spans="1:30" ht="15.75" thickBot="1">
      <c r="A6" s="360"/>
      <c r="B6" s="361"/>
      <c r="C6" s="3708" t="s">
        <v>1675</v>
      </c>
      <c r="D6" s="3709"/>
      <c r="E6" s="3715" t="s">
        <v>1675</v>
      </c>
      <c r="F6" s="3716"/>
      <c r="G6" s="3708" t="s">
        <v>1675</v>
      </c>
      <c r="H6" s="3709"/>
      <c r="I6" s="3708" t="s">
        <v>1675</v>
      </c>
      <c r="J6" s="3709"/>
      <c r="K6" s="559" t="s">
        <v>1676</v>
      </c>
      <c r="L6" s="2715"/>
      <c r="M6" s="2716"/>
      <c r="N6" s="2716"/>
      <c r="O6" s="2716"/>
      <c r="P6" s="3700"/>
      <c r="Q6" s="3701"/>
      <c r="R6" s="3704"/>
      <c r="S6" s="3705"/>
      <c r="T6" s="3706"/>
      <c r="U6" s="3707"/>
      <c r="V6" s="3687"/>
      <c r="W6" s="3687"/>
      <c r="X6" s="1355"/>
      <c r="Y6" s="3706"/>
      <c r="Z6" s="3707"/>
      <c r="AA6" s="3691"/>
      <c r="AB6" s="3691"/>
      <c r="AC6" s="3691"/>
    </row>
    <row r="7" spans="1:30" s="108" customFormat="1" ht="15.75" thickBot="1">
      <c r="A7" s="362" t="s">
        <v>1677</v>
      </c>
      <c r="B7" s="363"/>
      <c r="C7" s="364">
        <f>'数据-取费表'!B2</f>
        <v>45485</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12" t="s">
        <v>1678</v>
      </c>
      <c r="Q7" s="3714"/>
      <c r="R7" s="701" t="s">
        <v>14</v>
      </c>
      <c r="S7" s="702">
        <f t="shared" ref="S7:S15" si="0">F7</f>
        <v>0</v>
      </c>
      <c r="T7" s="701" t="s">
        <v>14</v>
      </c>
      <c r="U7" s="702">
        <f t="shared" ref="U7:U15" si="1">H7</f>
        <v>0</v>
      </c>
      <c r="V7" s="701" t="s">
        <v>14</v>
      </c>
      <c r="W7" s="702">
        <f t="shared" ref="W7:W15" si="2">J7</f>
        <v>0</v>
      </c>
      <c r="X7" s="703"/>
      <c r="Y7" s="3712" t="s">
        <v>1678</v>
      </c>
      <c r="Z7" s="3713"/>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12" t="s">
        <v>1681</v>
      </c>
      <c r="Q8" s="3713"/>
      <c r="R8" s="701" t="s">
        <v>14</v>
      </c>
      <c r="S8" s="702">
        <f t="shared" si="0"/>
        <v>0</v>
      </c>
      <c r="T8" s="701" t="s">
        <v>14</v>
      </c>
      <c r="U8" s="702">
        <f t="shared" si="1"/>
        <v>0</v>
      </c>
      <c r="V8" s="701" t="s">
        <v>14</v>
      </c>
      <c r="W8" s="702">
        <f t="shared" si="2"/>
        <v>0</v>
      </c>
      <c r="X8" s="703"/>
      <c r="Y8" s="3712" t="s">
        <v>1681</v>
      </c>
      <c r="Z8" s="3713"/>
      <c r="AA8" s="704" t="e">
        <f t="shared" ref="AA8:AA45" si="3">D8/F8</f>
        <v>#DIV/0!</v>
      </c>
      <c r="AB8" s="704" t="e">
        <f t="shared" ref="AB8:AB45" si="4">D8/H8</f>
        <v>#DIV/0!</v>
      </c>
      <c r="AC8" s="704" t="e">
        <f t="shared" ref="AC8:AC45" si="5">D8/J8</f>
        <v>#DIV/0!</v>
      </c>
    </row>
    <row r="9" spans="1:30" s="108" customFormat="1">
      <c r="A9" s="369" t="s">
        <v>1682</v>
      </c>
      <c r="B9" s="63" t="s">
        <v>1683</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121</v>
      </c>
      <c r="G10" s="414"/>
      <c r="H10" s="127">
        <f>ROUND(100/'数据-取费表'!G16,0)</f>
        <v>121</v>
      </c>
      <c r="I10" s="414"/>
      <c r="J10" s="127">
        <f>ROUND(100/'数据-取费表'!G16,0)</f>
        <v>121</v>
      </c>
      <c r="K10" s="620"/>
      <c r="L10" s="2719"/>
      <c r="M10" s="2720"/>
      <c r="N10" s="2720"/>
      <c r="O10" s="2773"/>
      <c r="P10" s="3673"/>
      <c r="Q10" s="1343" t="str">
        <f t="shared" si="6"/>
        <v>土地使用年限（年）</v>
      </c>
      <c r="R10" s="701" t="s">
        <v>14</v>
      </c>
      <c r="S10" s="702">
        <f t="shared" si="0"/>
        <v>121</v>
      </c>
      <c r="T10" s="701" t="s">
        <v>14</v>
      </c>
      <c r="U10" s="702">
        <f t="shared" si="1"/>
        <v>121</v>
      </c>
      <c r="V10" s="701" t="s">
        <v>14</v>
      </c>
      <c r="W10" s="702">
        <f t="shared" si="2"/>
        <v>121</v>
      </c>
      <c r="X10" s="703"/>
      <c r="Y10" s="3575"/>
      <c r="Z10" s="52" t="str">
        <f t="shared" si="7"/>
        <v>土地使用年限（年）</v>
      </c>
      <c r="AA10" s="704">
        <f t="shared" si="3"/>
        <v>0.82644628099173556</v>
      </c>
      <c r="AB10" s="704">
        <f t="shared" si="4"/>
        <v>0.82644628099173556</v>
      </c>
      <c r="AC10" s="704">
        <f t="shared" si="5"/>
        <v>0.82644628099173556</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30" s="108" customFormat="1" ht="15">
      <c r="A12" s="382"/>
      <c r="B12" s="1893" t="s">
        <v>1868</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7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7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75"/>
      <c r="Z14" s="52">
        <f t="shared" si="7"/>
        <v>111</v>
      </c>
      <c r="AA14" s="704">
        <f>D14/F14</f>
        <v>1</v>
      </c>
      <c r="AB14" s="704">
        <f>D14/H14</f>
        <v>1</v>
      </c>
      <c r="AC14" s="704">
        <f>D14/J14</f>
        <v>1</v>
      </c>
    </row>
    <row r="15" spans="1:30" ht="15">
      <c r="A15" s="391" t="s">
        <v>1688</v>
      </c>
      <c r="B15" s="61" t="s">
        <v>1255</v>
      </c>
      <c r="C15" s="1896">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0" t="s">
        <v>1689</v>
      </c>
      <c r="Q15" s="1352" t="str">
        <f t="shared" si="6"/>
        <v>居住社区成熟度</v>
      </c>
      <c r="R15" s="705" t="s">
        <v>14</v>
      </c>
      <c r="S15" s="706">
        <f t="shared" si="0"/>
        <v>100</v>
      </c>
      <c r="T15" s="705" t="s">
        <v>14</v>
      </c>
      <c r="U15" s="706">
        <f t="shared" si="1"/>
        <v>100</v>
      </c>
      <c r="V15" s="705" t="s">
        <v>14</v>
      </c>
      <c r="W15" s="706">
        <f t="shared" si="2"/>
        <v>100</v>
      </c>
      <c r="X15" s="1355"/>
      <c r="Y15" s="3680" t="s">
        <v>1689</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15">
      <c r="A17" s="379"/>
      <c r="B17" s="402" t="s">
        <v>1775</v>
      </c>
      <c r="C17" s="1955">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1"/>
      <c r="Q17" s="1352" t="str">
        <f>B17</f>
        <v>商业繁华度</v>
      </c>
      <c r="R17" s="705" t="s">
        <v>14</v>
      </c>
      <c r="S17" s="706">
        <f>F17</f>
        <v>100</v>
      </c>
      <c r="T17" s="705" t="s">
        <v>14</v>
      </c>
      <c r="U17" s="706">
        <f>H17</f>
        <v>100</v>
      </c>
      <c r="V17" s="705" t="s">
        <v>14</v>
      </c>
      <c r="W17" s="706">
        <f>J17</f>
        <v>100</v>
      </c>
      <c r="X17" s="1355"/>
      <c r="Y17" s="368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15">
      <c r="A19" s="379"/>
      <c r="B19" s="402" t="s">
        <v>1809</v>
      </c>
      <c r="C19" s="1955">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1"/>
      <c r="Q19" s="1352" t="str">
        <f>B19</f>
        <v>办公集聚程度</v>
      </c>
      <c r="R19" s="705" t="s">
        <v>14</v>
      </c>
      <c r="S19" s="706">
        <f>F19</f>
        <v>100</v>
      </c>
      <c r="T19" s="705" t="s">
        <v>14</v>
      </c>
      <c r="U19" s="706">
        <f>H19</f>
        <v>100</v>
      </c>
      <c r="V19" s="705" t="s">
        <v>14</v>
      </c>
      <c r="W19" s="706">
        <f>J19</f>
        <v>100</v>
      </c>
      <c r="X19" s="1355"/>
      <c r="Y19" s="368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1"/>
      <c r="Q20" s="1352"/>
      <c r="R20" s="705"/>
      <c r="S20" s="706"/>
      <c r="T20" s="705"/>
      <c r="U20" s="706"/>
      <c r="V20" s="705"/>
      <c r="W20" s="706"/>
      <c r="X20" s="1355"/>
      <c r="Y20" s="3681"/>
      <c r="Z20" s="1356"/>
      <c r="AA20" s="1353">
        <v>1</v>
      </c>
      <c r="AB20" s="1353">
        <v>1</v>
      </c>
      <c r="AC20" s="1353">
        <v>1</v>
      </c>
    </row>
    <row r="21" spans="1:29" ht="15">
      <c r="A21" s="379"/>
      <c r="B21" s="402" t="s">
        <v>1831</v>
      </c>
      <c r="C21" s="1900">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1"/>
      <c r="Q21" s="1352" t="str">
        <f>B21</f>
        <v>交通便捷度</v>
      </c>
      <c r="R21" s="705" t="s">
        <v>14</v>
      </c>
      <c r="S21" s="706">
        <f>F21</f>
        <v>100</v>
      </c>
      <c r="T21" s="705" t="s">
        <v>14</v>
      </c>
      <c r="U21" s="706">
        <f>H21</f>
        <v>100</v>
      </c>
      <c r="V21" s="705" t="s">
        <v>14</v>
      </c>
      <c r="W21" s="706">
        <f>J21</f>
        <v>100</v>
      </c>
      <c r="X21" s="1355"/>
      <c r="Y21" s="368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ht="15">
      <c r="A23" s="358"/>
      <c r="B23" s="402" t="s">
        <v>1869</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1"/>
      <c r="Q23" s="1352" t="str">
        <f t="shared" ref="Q23:Q37" si="8">B23</f>
        <v>区域土地利用方向</v>
      </c>
      <c r="R23" s="705" t="s">
        <v>14</v>
      </c>
      <c r="S23" s="706">
        <f>F23</f>
        <v>100</v>
      </c>
      <c r="T23" s="705" t="s">
        <v>14</v>
      </c>
      <c r="U23" s="706">
        <f>H23</f>
        <v>100</v>
      </c>
      <c r="V23" s="705" t="s">
        <v>14</v>
      </c>
      <c r="W23" s="706">
        <f>J23</f>
        <v>100</v>
      </c>
      <c r="X23" s="1355"/>
      <c r="Y23" s="368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1"/>
      <c r="Q24" s="1352"/>
      <c r="R24" s="705"/>
      <c r="S24" s="706"/>
      <c r="T24" s="705"/>
      <c r="U24" s="706"/>
      <c r="V24" s="705"/>
      <c r="W24" s="706"/>
      <c r="X24" s="1355"/>
      <c r="Y24" s="3681"/>
      <c r="Z24" s="1356"/>
      <c r="AA24" s="1353"/>
      <c r="AB24" s="1353"/>
      <c r="AC24" s="1353"/>
    </row>
    <row r="25" spans="1:29" ht="27">
      <c r="A25" s="358"/>
      <c r="B25" s="1131" t="s">
        <v>1870</v>
      </c>
      <c r="C25" s="1955">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1"/>
      <c r="Q25" s="1352" t="str">
        <f t="shared" si="8"/>
        <v>自然及人文环境状况</v>
      </c>
      <c r="R25" s="705" t="s">
        <v>14</v>
      </c>
      <c r="S25" s="706">
        <f>F25</f>
        <v>100</v>
      </c>
      <c r="T25" s="705" t="s">
        <v>14</v>
      </c>
      <c r="U25" s="706">
        <f>H25</f>
        <v>100</v>
      </c>
      <c r="V25" s="705" t="s">
        <v>14</v>
      </c>
      <c r="W25" s="706">
        <f>J25</f>
        <v>100</v>
      </c>
      <c r="X25" s="1355"/>
      <c r="Y25" s="368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1"/>
      <c r="Q26" s="1352"/>
      <c r="R26" s="705"/>
      <c r="S26" s="706"/>
      <c r="T26" s="705"/>
      <c r="U26" s="706"/>
      <c r="V26" s="705"/>
      <c r="W26" s="706"/>
      <c r="X26" s="1355"/>
      <c r="Y26" s="3681"/>
      <c r="Z26" s="1356"/>
      <c r="AA26" s="1353">
        <v>1</v>
      </c>
      <c r="AB26" s="1353">
        <v>1</v>
      </c>
      <c r="AC26" s="1353">
        <v>1</v>
      </c>
    </row>
    <row r="27" spans="1:29" s="108" customFormat="1" ht="15">
      <c r="A27" s="597"/>
      <c r="B27" s="1131" t="s">
        <v>1776</v>
      </c>
      <c r="C27" s="1900">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1"/>
      <c r="Q27" s="1343" t="str">
        <f t="shared" si="8"/>
        <v>公共配套设施</v>
      </c>
      <c r="R27" s="701" t="s">
        <v>14</v>
      </c>
      <c r="S27" s="702">
        <f>F27</f>
        <v>100</v>
      </c>
      <c r="T27" s="701" t="s">
        <v>14</v>
      </c>
      <c r="U27" s="702">
        <f>H27</f>
        <v>100</v>
      </c>
      <c r="V27" s="701" t="s">
        <v>14</v>
      </c>
      <c r="W27" s="702">
        <f>J27</f>
        <v>100</v>
      </c>
      <c r="X27" s="703"/>
      <c r="Y27" s="368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1"/>
      <c r="Q28" s="1343"/>
      <c r="R28" s="701"/>
      <c r="S28" s="702"/>
      <c r="T28" s="701"/>
      <c r="U28" s="702"/>
      <c r="V28" s="701"/>
      <c r="W28" s="702"/>
      <c r="X28" s="703"/>
      <c r="Y28" s="3681"/>
      <c r="Z28" s="52"/>
      <c r="AA28" s="1353">
        <v>1</v>
      </c>
      <c r="AB28" s="1353">
        <v>1</v>
      </c>
      <c r="AC28" s="1353">
        <v>1</v>
      </c>
    </row>
    <row r="29" spans="1:29" s="108" customFormat="1" ht="15">
      <c r="A29" s="597"/>
      <c r="B29" s="1131" t="s">
        <v>1777</v>
      </c>
      <c r="C29" s="1900">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1"/>
      <c r="Q29" s="1343" t="str">
        <f t="shared" ref="Q29" si="9">B29</f>
        <v>基础设施水平</v>
      </c>
      <c r="R29" s="701" t="s">
        <v>14</v>
      </c>
      <c r="S29" s="702">
        <f>F29</f>
        <v>100</v>
      </c>
      <c r="T29" s="701" t="s">
        <v>14</v>
      </c>
      <c r="U29" s="702">
        <f>H29</f>
        <v>100</v>
      </c>
      <c r="V29" s="701" t="s">
        <v>14</v>
      </c>
      <c r="W29" s="702">
        <f>J29</f>
        <v>100</v>
      </c>
      <c r="X29" s="703"/>
      <c r="Y29" s="368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1"/>
      <c r="Q30" s="1343"/>
      <c r="R30" s="701"/>
      <c r="S30" s="702"/>
      <c r="T30" s="701"/>
      <c r="U30" s="702"/>
      <c r="V30" s="701"/>
      <c r="W30" s="702"/>
      <c r="X30" s="703"/>
      <c r="Y30" s="3681"/>
      <c r="Z30" s="52"/>
      <c r="AA30" s="1353">
        <v>1</v>
      </c>
      <c r="AB30" s="1353">
        <v>1</v>
      </c>
      <c r="AC30" s="1353">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1"/>
      <c r="Z31" s="1356" t="str">
        <f t="shared" ref="Z31:Z45" si="13">Q31</f>
        <v>临街状况</v>
      </c>
      <c r="AA31" s="1353">
        <f t="shared" si="3"/>
        <v>1</v>
      </c>
      <c r="AB31" s="1353">
        <f t="shared" si="4"/>
        <v>1</v>
      </c>
      <c r="AC31" s="1353">
        <f t="shared" si="5"/>
        <v>1</v>
      </c>
    </row>
    <row r="32" spans="1:29" ht="27">
      <c r="A32" s="379"/>
      <c r="B32" s="1131"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1"/>
      <c r="Q32" s="1352" t="str">
        <f t="shared" si="8"/>
        <v>毗邻道路的类型与等级</v>
      </c>
      <c r="R32" s="705" t="s">
        <v>14</v>
      </c>
      <c r="S32" s="706">
        <f t="shared" si="10"/>
        <v>100</v>
      </c>
      <c r="T32" s="705" t="s">
        <v>14</v>
      </c>
      <c r="U32" s="706">
        <f t="shared" si="11"/>
        <v>100</v>
      </c>
      <c r="V32" s="705" t="s">
        <v>14</v>
      </c>
      <c r="W32" s="706">
        <f t="shared" si="12"/>
        <v>100</v>
      </c>
      <c r="X32" s="1355"/>
      <c r="Y32" s="368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1"/>
      <c r="Q33" s="1352"/>
      <c r="R33" s="705"/>
      <c r="S33" s="706"/>
      <c r="T33" s="705"/>
      <c r="U33" s="706"/>
      <c r="V33" s="705"/>
      <c r="W33" s="706"/>
      <c r="X33" s="1355"/>
      <c r="Y33" s="3681"/>
      <c r="Z33" s="1356"/>
      <c r="AA33" s="1353">
        <v>1</v>
      </c>
      <c r="AB33" s="1353">
        <v>1</v>
      </c>
      <c r="AC33" s="1353">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1"/>
      <c r="Q34" s="1352" t="str">
        <f t="shared" si="8"/>
        <v>土地级别</v>
      </c>
      <c r="R34" s="705" t="s">
        <v>14</v>
      </c>
      <c r="S34" s="706">
        <f t="shared" si="10"/>
        <v>100</v>
      </c>
      <c r="T34" s="705" t="s">
        <v>14</v>
      </c>
      <c r="U34" s="706">
        <f t="shared" si="11"/>
        <v>100</v>
      </c>
      <c r="V34" s="705" t="s">
        <v>14</v>
      </c>
      <c r="W34" s="706">
        <f t="shared" si="12"/>
        <v>100</v>
      </c>
      <c r="X34" s="1355"/>
      <c r="Y34" s="368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1"/>
      <c r="Q35" s="1352">
        <f t="shared" si="8"/>
        <v>111</v>
      </c>
      <c r="R35" s="705" t="s">
        <v>14</v>
      </c>
      <c r="S35" s="706">
        <f t="shared" si="10"/>
        <v>100</v>
      </c>
      <c r="T35" s="705" t="s">
        <v>14</v>
      </c>
      <c r="U35" s="706">
        <f t="shared" si="11"/>
        <v>100</v>
      </c>
      <c r="V35" s="705" t="s">
        <v>14</v>
      </c>
      <c r="W35" s="706">
        <f t="shared" si="12"/>
        <v>100</v>
      </c>
      <c r="X35" s="1355"/>
      <c r="Y35" s="368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77" t="s">
        <v>1694</v>
      </c>
      <c r="Q36" s="1352">
        <f t="shared" si="8"/>
        <v>111</v>
      </c>
      <c r="R36" s="705" t="s">
        <v>14</v>
      </c>
      <c r="S36" s="706">
        <f t="shared" si="10"/>
        <v>100</v>
      </c>
      <c r="T36" s="705" t="s">
        <v>14</v>
      </c>
      <c r="U36" s="706">
        <f t="shared" si="11"/>
        <v>100</v>
      </c>
      <c r="V36" s="705" t="s">
        <v>14</v>
      </c>
      <c r="W36" s="706">
        <f t="shared" si="12"/>
        <v>100</v>
      </c>
      <c r="X36" s="1355"/>
      <c r="Y36" s="3685" t="s">
        <v>1694</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5"/>
      <c r="Q37" s="1352">
        <f t="shared" si="8"/>
        <v>111</v>
      </c>
      <c r="R37" s="708" t="s">
        <v>14</v>
      </c>
      <c r="S37" s="709">
        <f t="shared" si="10"/>
        <v>100</v>
      </c>
      <c r="T37" s="708" t="s">
        <v>14</v>
      </c>
      <c r="U37" s="709">
        <f t="shared" si="11"/>
        <v>100</v>
      </c>
      <c r="V37" s="708" t="s">
        <v>14</v>
      </c>
      <c r="W37" s="709">
        <f t="shared" si="12"/>
        <v>100</v>
      </c>
      <c r="X37" s="710"/>
      <c r="Y37" s="3685"/>
      <c r="Z37" s="711">
        <f t="shared" si="13"/>
        <v>111</v>
      </c>
      <c r="AA37" s="1353">
        <f t="shared" si="3"/>
        <v>1</v>
      </c>
      <c r="AB37" s="1353">
        <f t="shared" si="4"/>
        <v>1</v>
      </c>
      <c r="AC37" s="1353">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5"/>
      <c r="Q38" s="1352" t="str">
        <f>B38</f>
        <v>宗地面积</v>
      </c>
      <c r="R38" s="705" t="s">
        <v>14</v>
      </c>
      <c r="S38" s="706" t="e">
        <f t="shared" si="10"/>
        <v>#N/A</v>
      </c>
      <c r="T38" s="705" t="s">
        <v>14</v>
      </c>
      <c r="U38" s="706" t="e">
        <f t="shared" si="11"/>
        <v>#N/A</v>
      </c>
      <c r="V38" s="705" t="s">
        <v>14</v>
      </c>
      <c r="W38" s="706" t="e">
        <f t="shared" si="12"/>
        <v>#N/A</v>
      </c>
      <c r="X38" s="1355"/>
      <c r="Y38" s="3685"/>
      <c r="Z38" s="1356" t="str">
        <f t="shared" si="13"/>
        <v>宗地面积</v>
      </c>
      <c r="AA38" s="1353" t="e">
        <f t="shared" si="3"/>
        <v>#N/A</v>
      </c>
      <c r="AB38" s="1353" t="e">
        <f t="shared" si="4"/>
        <v>#N/A</v>
      </c>
      <c r="AC38" s="1353" t="e">
        <f t="shared" si="5"/>
        <v>#N/A</v>
      </c>
    </row>
    <row r="39" spans="1:29" ht="15">
      <c r="A39" s="423"/>
      <c r="B39" s="375" t="s">
        <v>1873</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5"/>
      <c r="Q39" s="1352" t="str">
        <f t="shared" ref="Q39:Q45" si="14">B39</f>
        <v>宗地形状</v>
      </c>
      <c r="R39" s="705" t="s">
        <v>14</v>
      </c>
      <c r="S39" s="706">
        <f t="shared" si="10"/>
        <v>100</v>
      </c>
      <c r="T39" s="705" t="s">
        <v>14</v>
      </c>
      <c r="U39" s="706">
        <f t="shared" si="11"/>
        <v>100</v>
      </c>
      <c r="V39" s="705" t="s">
        <v>14</v>
      </c>
      <c r="W39" s="706">
        <f t="shared" si="12"/>
        <v>100</v>
      </c>
      <c r="X39" s="1355"/>
      <c r="Y39" s="3685"/>
      <c r="Z39" s="1356" t="str">
        <f t="shared" si="13"/>
        <v>宗地形状</v>
      </c>
      <c r="AA39" s="1353">
        <f t="shared" si="3"/>
        <v>1</v>
      </c>
      <c r="AB39" s="1353">
        <f t="shared" si="4"/>
        <v>1</v>
      </c>
      <c r="AC39" s="1353">
        <f t="shared" si="5"/>
        <v>1</v>
      </c>
    </row>
    <row r="40" spans="1:29" ht="15">
      <c r="A40" s="423"/>
      <c r="B40" s="375" t="s">
        <v>1874</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5"/>
      <c r="Q40" s="1352" t="str">
        <f t="shared" si="14"/>
        <v>临街宽度及深度</v>
      </c>
      <c r="R40" s="705" t="s">
        <v>14</v>
      </c>
      <c r="S40" s="706">
        <f t="shared" si="10"/>
        <v>100</v>
      </c>
      <c r="T40" s="705" t="s">
        <v>14</v>
      </c>
      <c r="U40" s="706">
        <f t="shared" si="11"/>
        <v>100</v>
      </c>
      <c r="V40" s="705" t="s">
        <v>14</v>
      </c>
      <c r="W40" s="706">
        <f t="shared" si="12"/>
        <v>100</v>
      </c>
      <c r="X40" s="1355"/>
      <c r="Y40" s="3685"/>
      <c r="Z40" s="1356" t="str">
        <f t="shared" si="13"/>
        <v>临街宽度及深度</v>
      </c>
      <c r="AA40" s="1353">
        <f t="shared" si="3"/>
        <v>1</v>
      </c>
      <c r="AB40" s="1353">
        <f t="shared" si="4"/>
        <v>1</v>
      </c>
      <c r="AC40" s="1353">
        <f t="shared" si="5"/>
        <v>1</v>
      </c>
    </row>
    <row r="41" spans="1:29" s="108" customFormat="1" ht="15">
      <c r="A41" s="424"/>
      <c r="B41" s="375" t="s">
        <v>1875</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5"/>
      <c r="Q41" s="1352" t="str">
        <f t="shared" si="14"/>
        <v>宗地开发程度</v>
      </c>
      <c r="R41" s="701" t="s">
        <v>14</v>
      </c>
      <c r="S41" s="702">
        <f t="shared" si="10"/>
        <v>100</v>
      </c>
      <c r="T41" s="701" t="s">
        <v>14</v>
      </c>
      <c r="U41" s="702">
        <f t="shared" si="11"/>
        <v>100</v>
      </c>
      <c r="V41" s="701" t="s">
        <v>14</v>
      </c>
      <c r="W41" s="702">
        <f t="shared" si="12"/>
        <v>100</v>
      </c>
      <c r="X41" s="703"/>
      <c r="Y41" s="3685"/>
      <c r="Z41" s="52" t="str">
        <f t="shared" si="13"/>
        <v>宗地开发程度</v>
      </c>
      <c r="AA41" s="704">
        <f t="shared" si="3"/>
        <v>1</v>
      </c>
      <c r="AB41" s="704">
        <f t="shared" si="4"/>
        <v>1</v>
      </c>
      <c r="AC41" s="704">
        <f t="shared" si="5"/>
        <v>1</v>
      </c>
    </row>
    <row r="42" spans="1:29" ht="15">
      <c r="A42" s="423"/>
      <c r="B42" s="375" t="s">
        <v>1876</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5" t="s">
        <v>1694</v>
      </c>
      <c r="Q42" s="1352" t="str">
        <f t="shared" si="14"/>
        <v>工程地质条件</v>
      </c>
      <c r="R42" s="705" t="s">
        <v>14</v>
      </c>
      <c r="S42" s="706">
        <f t="shared" si="10"/>
        <v>100</v>
      </c>
      <c r="T42" s="705" t="s">
        <v>14</v>
      </c>
      <c r="U42" s="706">
        <f t="shared" si="11"/>
        <v>100</v>
      </c>
      <c r="V42" s="705" t="s">
        <v>14</v>
      </c>
      <c r="W42" s="706">
        <f t="shared" si="12"/>
        <v>100</v>
      </c>
      <c r="X42" s="1355"/>
      <c r="Y42" s="3685" t="s">
        <v>1694</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5"/>
      <c r="Q43" s="1352">
        <f t="shared" si="14"/>
        <v>111</v>
      </c>
      <c r="R43" s="705" t="s">
        <v>14</v>
      </c>
      <c r="S43" s="706">
        <f t="shared" si="10"/>
        <v>100</v>
      </c>
      <c r="T43" s="705" t="s">
        <v>14</v>
      </c>
      <c r="U43" s="706">
        <f t="shared" si="11"/>
        <v>100</v>
      </c>
      <c r="V43" s="705" t="s">
        <v>14</v>
      </c>
      <c r="W43" s="706">
        <f t="shared" si="12"/>
        <v>100</v>
      </c>
      <c r="X43" s="1355"/>
      <c r="Y43" s="368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5"/>
      <c r="Q44" s="1352">
        <f t="shared" si="14"/>
        <v>111</v>
      </c>
      <c r="R44" s="705" t="s">
        <v>14</v>
      </c>
      <c r="S44" s="706">
        <f t="shared" si="10"/>
        <v>100</v>
      </c>
      <c r="T44" s="705" t="s">
        <v>14</v>
      </c>
      <c r="U44" s="706">
        <f t="shared" si="11"/>
        <v>100</v>
      </c>
      <c r="V44" s="705" t="s">
        <v>14</v>
      </c>
      <c r="W44" s="706">
        <f t="shared" si="12"/>
        <v>100</v>
      </c>
      <c r="X44" s="1355"/>
      <c r="Y44" s="368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5"/>
      <c r="Q45" s="1352">
        <f t="shared" si="14"/>
        <v>111</v>
      </c>
      <c r="R45" s="708" t="s">
        <v>14</v>
      </c>
      <c r="S45" s="709">
        <f t="shared" si="10"/>
        <v>100</v>
      </c>
      <c r="T45" s="708" t="s">
        <v>14</v>
      </c>
      <c r="U45" s="709">
        <f t="shared" si="11"/>
        <v>100</v>
      </c>
      <c r="V45" s="708" t="s">
        <v>14</v>
      </c>
      <c r="W45" s="709">
        <f t="shared" si="12"/>
        <v>100</v>
      </c>
      <c r="X45" s="710"/>
      <c r="Y45" s="3685"/>
      <c r="Z45" s="711">
        <f t="shared" si="13"/>
        <v>111</v>
      </c>
      <c r="AA45" s="1353">
        <f t="shared" si="3"/>
        <v>1</v>
      </c>
      <c r="AB45" s="1353">
        <f t="shared" si="4"/>
        <v>1</v>
      </c>
      <c r="AC45" s="1353">
        <f t="shared" si="5"/>
        <v>1</v>
      </c>
    </row>
    <row r="46" spans="1:29" ht="15">
      <c r="A46" s="430" t="s">
        <v>1842</v>
      </c>
      <c r="B46" s="1982" t="s">
        <v>1877</v>
      </c>
      <c r="C46" s="630" t="s">
        <v>0</v>
      </c>
      <c r="D46" s="432"/>
      <c r="E46" s="433"/>
      <c r="F46" s="434"/>
      <c r="G46" s="435"/>
      <c r="H46" s="436"/>
      <c r="I46" s="433"/>
      <c r="J46" s="436"/>
      <c r="K46" s="714"/>
      <c r="L46" s="2724"/>
      <c r="M46" s="2725"/>
      <c r="N46" s="2716"/>
      <c r="O46" s="2725"/>
      <c r="P46" s="3673" t="str">
        <f>A46</f>
        <v>成交单价</v>
      </c>
      <c r="Q46" s="3673"/>
      <c r="R46" s="3687">
        <f>E46</f>
        <v>0</v>
      </c>
      <c r="S46" s="3687"/>
      <c r="T46" s="3687">
        <f>G46</f>
        <v>0</v>
      </c>
      <c r="U46" s="3687"/>
      <c r="V46" s="3687">
        <f>I46</f>
        <v>0</v>
      </c>
      <c r="W46" s="3687"/>
      <c r="X46" s="690"/>
      <c r="Y46" s="712"/>
      <c r="Z46" s="690"/>
      <c r="AA46" s="690"/>
      <c r="AB46" s="690"/>
      <c r="AC46" s="690"/>
    </row>
    <row r="47" spans="1:29" ht="15.75" thickBot="1">
      <c r="A47" s="437" t="s">
        <v>1791</v>
      </c>
      <c r="B47" s="631"/>
      <c r="C47" s="440" t="e">
        <f>R48</f>
        <v>#DIV/0!</v>
      </c>
      <c r="D47" s="2317" t="s">
        <v>2136</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79" t="e">
        <f>ROUND(PRODUCT(R46,AA7:AA45),0)</f>
        <v>#DIV/0!</v>
      </c>
      <c r="S47" s="3779"/>
      <c r="T47" s="3779" t="e">
        <f>ROUND(PRODUCT(T46,AB7:AB45),0)</f>
        <v>#DIV/0!</v>
      </c>
      <c r="U47" s="3779"/>
      <c r="V47" s="3779" t="e">
        <f>ROUND(PRODUCT(V46,AC7:AC45),0)</f>
        <v>#DIV/0!</v>
      </c>
      <c r="W47" s="3779"/>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24"/>
      <c r="M48" s="2725"/>
      <c r="N48" s="2725"/>
      <c r="O48" s="2725"/>
      <c r="P48" s="3675" t="str">
        <f>A48</f>
        <v>估价对象XX用房的比较价值（楼面单价，元/平方米）</v>
      </c>
      <c r="Q48" s="3676"/>
      <c r="R48" s="3780" t="e">
        <f>ROUND(IF(D47="简单平均",AVERAGE(R47:W47),R47*F47+T47*H47+V47*J47),0)</f>
        <v>#DIV/0!</v>
      </c>
      <c r="S48" s="3780"/>
      <c r="T48" s="3780"/>
      <c r="U48" s="3780"/>
      <c r="V48" s="3780"/>
      <c r="W48" s="378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1879</v>
      </c>
      <c r="B55" s="633" t="s">
        <v>1880</v>
      </c>
      <c r="C55" s="1983" t="s">
        <v>1881</v>
      </c>
      <c r="D55" s="1984" t="s">
        <v>1882</v>
      </c>
      <c r="E55" s="634" t="s">
        <v>1883</v>
      </c>
      <c r="F55" s="890" t="s">
        <v>1884</v>
      </c>
      <c r="G55" s="3692" t="s">
        <v>1885</v>
      </c>
      <c r="H55" s="3781"/>
      <c r="I55" s="135" t="s">
        <v>1886</v>
      </c>
      <c r="J55" s="1985">
        <f>项目基本情况!F35</f>
        <v>0</v>
      </c>
      <c r="K55" s="1986" t="s">
        <v>1887</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1888</v>
      </c>
      <c r="B56" s="637" t="e">
        <f>C48</f>
        <v>#DIV/0!</v>
      </c>
      <c r="C56" s="638">
        <v>1</v>
      </c>
      <c r="D56" s="944">
        <v>1</v>
      </c>
      <c r="E56" s="638">
        <f>'数据-汇总表'!E8+'数据-汇总表'!E9</f>
        <v>778.02</v>
      </c>
      <c r="F56" s="886" t="e">
        <f t="shared" ref="F56:F64" si="15">ROUND(B56*E56/10000,0)</f>
        <v>#DIV/0!</v>
      </c>
      <c r="G56" s="3688"/>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1889</v>
      </c>
      <c r="B57" s="218" t="e">
        <f>ROUND($C$48*C57*D57,0)</f>
        <v>#DIV/0!</v>
      </c>
      <c r="C57" s="171">
        <f t="shared" ref="C57:C64" si="16">IF($C$55="北京市系数",I57,J57)</f>
        <v>0.7</v>
      </c>
      <c r="D57" s="945">
        <v>0.25</v>
      </c>
      <c r="E57" s="642"/>
      <c r="F57" s="886" t="e">
        <f t="shared" si="15"/>
        <v>#DIV/0!</v>
      </c>
      <c r="G57" s="3006" t="s">
        <v>1890</v>
      </c>
      <c r="H57" s="887" t="str">
        <f>项目基本情况!B37</f>
        <v>二级</v>
      </c>
      <c r="I57" s="891">
        <f>SUMIF(修正!A57:A68,H57,修正!B57:B68)</f>
        <v>0.7</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1891</v>
      </c>
      <c r="B58" s="218" t="e">
        <f t="shared" ref="B58:B64" si="17">ROUND($C$48*C58*D58,0)</f>
        <v>#DIV/0!</v>
      </c>
      <c r="C58" s="171">
        <f t="shared" si="16"/>
        <v>0.4</v>
      </c>
      <c r="D58" s="945">
        <v>0.25</v>
      </c>
      <c r="E58" s="642"/>
      <c r="F58" s="886" t="e">
        <f t="shared" si="15"/>
        <v>#DIV/0!</v>
      </c>
      <c r="G58" s="3007"/>
      <c r="H58" s="887" t="str">
        <f>项目基本情况!B37</f>
        <v>二级</v>
      </c>
      <c r="I58" s="891">
        <f>SUMIF(修正!A57:A68,H58,修正!C57:C68)</f>
        <v>0.4</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1892</v>
      </c>
      <c r="B59" s="218" t="e">
        <f t="shared" si="17"/>
        <v>#DIV/0!</v>
      </c>
      <c r="C59" s="171">
        <f t="shared" si="16"/>
        <v>0.3</v>
      </c>
      <c r="D59" s="945">
        <v>0.25</v>
      </c>
      <c r="E59" s="642"/>
      <c r="F59" s="886" t="e">
        <f t="shared" si="15"/>
        <v>#DIV/0!</v>
      </c>
      <c r="G59" s="3007"/>
      <c r="H59" s="887" t="str">
        <f>项目基本情况!B37</f>
        <v>二级</v>
      </c>
      <c r="I59" s="891">
        <f>SUMIF(修正!A57:A68,H59,修正!D57:D68)</f>
        <v>0.3</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1893</v>
      </c>
      <c r="B60" s="218" t="e">
        <f t="shared" si="17"/>
        <v>#DIV/0!</v>
      </c>
      <c r="C60" s="171">
        <f t="shared" si="16"/>
        <v>0.3</v>
      </c>
      <c r="D60" s="945">
        <v>0.25</v>
      </c>
      <c r="E60" s="217">
        <f>'数据-汇总表'!E11</f>
        <v>0</v>
      </c>
      <c r="F60" s="886" t="e">
        <f t="shared" si="15"/>
        <v>#DIV/0!</v>
      </c>
      <c r="G60" s="1987" t="s">
        <v>1894</v>
      </c>
      <c r="H60" s="887" t="str">
        <f>项目基本情况!C37</f>
        <v>二级</v>
      </c>
      <c r="I60" s="891">
        <f>SUMIF(修正!A57:A68,H60,修正!E57:E68)</f>
        <v>0.3</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1895</v>
      </c>
      <c r="B61" s="218" t="e">
        <f t="shared" si="17"/>
        <v>#DIV/0!</v>
      </c>
      <c r="C61" s="171">
        <f t="shared" si="16"/>
        <v>0.3</v>
      </c>
      <c r="D61" s="945">
        <v>0.25</v>
      </c>
      <c r="E61" s="217">
        <f>'数据-汇总表'!E12</f>
        <v>0</v>
      </c>
      <c r="F61" s="886" t="e">
        <f t="shared" si="15"/>
        <v>#DIV/0!</v>
      </c>
      <c r="G61" s="892" t="s">
        <v>1896</v>
      </c>
      <c r="H61" s="887" t="str">
        <f>IF(G61="商业",项目基本情况!B37,IF(G61="办公",项目基本情况!C37,IF(G61="住宅",项目基本情况!D37,项目基本情况!E37)))</f>
        <v>二级</v>
      </c>
      <c r="I61" s="891">
        <f>SUMIF(修正!A57:A68,H61,修正!F57:F68)</f>
        <v>0.3</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1897</v>
      </c>
      <c r="B62" s="218" t="e">
        <f t="shared" si="17"/>
        <v>#DIV/0!</v>
      </c>
      <c r="C62" s="171">
        <f t="shared" si="16"/>
        <v>0</v>
      </c>
      <c r="D62" s="945">
        <v>0.25</v>
      </c>
      <c r="E62" s="217">
        <f>'数据-汇总表'!E13</f>
        <v>0</v>
      </c>
      <c r="F62" s="886" t="e">
        <f t="shared" si="15"/>
        <v>#DIV/0!</v>
      </c>
      <c r="G62" s="892" t="s">
        <v>1898</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1899</v>
      </c>
      <c r="B63" s="218" t="e">
        <f t="shared" si="17"/>
        <v>#DIV/0!</v>
      </c>
      <c r="C63" s="171">
        <f t="shared" si="16"/>
        <v>0.2</v>
      </c>
      <c r="D63" s="945">
        <v>0.25</v>
      </c>
      <c r="E63" s="217">
        <f>'数据-汇总表'!E14</f>
        <v>0</v>
      </c>
      <c r="F63" s="886" t="e">
        <f t="shared" si="15"/>
        <v>#DIV/0!</v>
      </c>
      <c r="G63" s="1987" t="s">
        <v>1890</v>
      </c>
      <c r="H63" s="887" t="str">
        <f>项目基本情况!B37</f>
        <v>二级</v>
      </c>
      <c r="I63" s="891">
        <f>SUMIF(修正!A57:A68,H63,修正!G57:G68)</f>
        <v>0.2</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1900</v>
      </c>
      <c r="B64" s="218" t="e">
        <f t="shared" si="17"/>
        <v>#DIV/0!</v>
      </c>
      <c r="C64" s="171">
        <f t="shared" si="16"/>
        <v>0.2</v>
      </c>
      <c r="D64" s="945">
        <v>0.25</v>
      </c>
      <c r="E64" s="217">
        <f>'数据-汇总表'!E15</f>
        <v>0</v>
      </c>
      <c r="F64" s="886" t="e">
        <f t="shared" si="15"/>
        <v>#DIV/0!</v>
      </c>
      <c r="G64" s="1988" t="s">
        <v>1894</v>
      </c>
      <c r="H64" s="897" t="str">
        <f>项目基本情况!C37</f>
        <v>二级</v>
      </c>
      <c r="I64" s="893">
        <f>SUMIF(修正!A57:A68,H64,修正!G57:G68)</f>
        <v>0.2</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1901</v>
      </c>
      <c r="B65" s="644" t="s">
        <v>22</v>
      </c>
      <c r="C65" s="644" t="s">
        <v>23</v>
      </c>
      <c r="D65" s="644" t="s">
        <v>392</v>
      </c>
      <c r="E65" s="644">
        <f>IF(B46="楼面地价",SUM(E56:E64),'数据-汇总表'!D3)</f>
        <v>778.02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1796</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1902</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1714</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1679</v>
      </c>
      <c r="B72" s="459"/>
      <c r="C72" s="471" t="s">
        <v>1774</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1717</v>
      </c>
      <c r="B74" s="477" t="s">
        <v>1683</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1686</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1688</v>
      </c>
      <c r="B87" s="477" t="s">
        <v>1718</v>
      </c>
      <c r="C87" s="522" t="s">
        <v>1719</v>
      </c>
      <c r="D87" s="522" t="s">
        <v>1720</v>
      </c>
      <c r="E87" s="522" t="s">
        <v>1721</v>
      </c>
      <c r="F87" s="522" t="s">
        <v>1722</v>
      </c>
      <c r="G87" s="522" t="s">
        <v>1723</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1904</v>
      </c>
      <c r="C89" s="527" t="s">
        <v>1719</v>
      </c>
      <c r="D89" s="527" t="s">
        <v>1720</v>
      </c>
      <c r="E89" s="527" t="s">
        <v>1721</v>
      </c>
      <c r="F89" s="527" t="s">
        <v>1722</v>
      </c>
      <c r="G89" s="527" t="s">
        <v>1723</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1819</v>
      </c>
      <c r="C91" s="527" t="s">
        <v>1719</v>
      </c>
      <c r="D91" s="527" t="s">
        <v>1720</v>
      </c>
      <c r="E91" s="527" t="s">
        <v>1721</v>
      </c>
      <c r="F91" s="527" t="s">
        <v>1722</v>
      </c>
      <c r="G91" s="527" t="s">
        <v>1723</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1724</v>
      </c>
      <c r="C93" s="527" t="s">
        <v>1719</v>
      </c>
      <c r="D93" s="527" t="s">
        <v>1720</v>
      </c>
      <c r="E93" s="527" t="s">
        <v>1721</v>
      </c>
      <c r="F93" s="527" t="s">
        <v>1722</v>
      </c>
      <c r="G93" s="527" t="s">
        <v>1723</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1813</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1871</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1912</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1913</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1914</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1915</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1767</v>
      </c>
      <c r="B4" s="356"/>
      <c r="C4" s="3692" t="s">
        <v>1768</v>
      </c>
      <c r="D4" s="3693"/>
      <c r="E4" s="3694" t="s">
        <v>1769</v>
      </c>
      <c r="F4" s="3695"/>
      <c r="G4" s="3692" t="s">
        <v>1770</v>
      </c>
      <c r="H4" s="3693"/>
      <c r="I4" s="3692" t="s">
        <v>1771</v>
      </c>
      <c r="J4" s="3693"/>
      <c r="K4" s="559" t="s">
        <v>1772</v>
      </c>
      <c r="L4" s="2715"/>
      <c r="M4" s="2716"/>
      <c r="N4" s="2716"/>
      <c r="O4" s="2716"/>
      <c r="P4" s="3696" t="s">
        <v>1773</v>
      </c>
      <c r="Q4" s="3697"/>
      <c r="R4" s="3702" t="s">
        <v>1769</v>
      </c>
      <c r="S4" s="3703"/>
      <c r="T4" s="3702" t="s">
        <v>1770</v>
      </c>
      <c r="U4" s="3703"/>
      <c r="V4" s="3687" t="s">
        <v>1771</v>
      </c>
      <c r="W4" s="3687"/>
      <c r="X4" s="1355"/>
      <c r="Y4" s="3702" t="s">
        <v>1773</v>
      </c>
      <c r="Z4" s="3703"/>
      <c r="AA4" s="3689" t="s">
        <v>1769</v>
      </c>
      <c r="AB4" s="3690" t="s">
        <v>1770</v>
      </c>
      <c r="AC4" s="3689" t="s">
        <v>1771</v>
      </c>
    </row>
    <row r="5" spans="1:29" ht="15">
      <c r="A5" s="358"/>
      <c r="B5" s="359"/>
      <c r="C5" s="3710" t="s">
        <v>1671</v>
      </c>
      <c r="D5" s="3711"/>
      <c r="E5" s="3717" t="s">
        <v>1672</v>
      </c>
      <c r="F5" s="3718"/>
      <c r="G5" s="3710" t="s">
        <v>1673</v>
      </c>
      <c r="H5" s="3711"/>
      <c r="I5" s="3710" t="s">
        <v>1674</v>
      </c>
      <c r="J5" s="3711"/>
      <c r="K5" s="559"/>
      <c r="L5" s="2715"/>
      <c r="M5" s="2716"/>
      <c r="N5" s="2716"/>
      <c r="O5" s="2716"/>
      <c r="P5" s="3698"/>
      <c r="Q5" s="3699"/>
      <c r="R5" s="3704"/>
      <c r="S5" s="3705"/>
      <c r="T5" s="3704"/>
      <c r="U5" s="3705"/>
      <c r="V5" s="3687"/>
      <c r="W5" s="3687"/>
      <c r="X5" s="1355"/>
      <c r="Y5" s="3704"/>
      <c r="Z5" s="3705"/>
      <c r="AA5" s="3690"/>
      <c r="AB5" s="3690"/>
      <c r="AC5" s="3690"/>
    </row>
    <row r="6" spans="1:29" ht="15.75" thickBot="1">
      <c r="A6" s="360"/>
      <c r="B6" s="361"/>
      <c r="C6" s="3782" t="s">
        <v>1917</v>
      </c>
      <c r="D6" s="3783"/>
      <c r="E6" s="3784" t="s">
        <v>1917</v>
      </c>
      <c r="F6" s="3785"/>
      <c r="G6" s="3782" t="s">
        <v>1917</v>
      </c>
      <c r="H6" s="3783"/>
      <c r="I6" s="3782" t="s">
        <v>1917</v>
      </c>
      <c r="J6" s="3783"/>
      <c r="K6" s="559" t="s">
        <v>1676</v>
      </c>
      <c r="L6" s="2715"/>
      <c r="M6" s="2716"/>
      <c r="N6" s="2716"/>
      <c r="O6" s="2716"/>
      <c r="P6" s="3700"/>
      <c r="Q6" s="3701"/>
      <c r="R6" s="3704"/>
      <c r="S6" s="3705"/>
      <c r="T6" s="3706"/>
      <c r="U6" s="3707"/>
      <c r="V6" s="3687"/>
      <c r="W6" s="3687"/>
      <c r="X6" s="1355"/>
      <c r="Y6" s="3706"/>
      <c r="Z6" s="3707"/>
      <c r="AA6" s="3691"/>
      <c r="AB6" s="3691"/>
      <c r="AC6" s="3691"/>
    </row>
    <row r="7" spans="1:29" s="108" customFormat="1" ht="15.75" thickBot="1">
      <c r="A7" s="362" t="s">
        <v>1677</v>
      </c>
      <c r="B7" s="363"/>
      <c r="C7" s="364">
        <f>'数据-取费表'!B2</f>
        <v>45485</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12" t="s">
        <v>1678</v>
      </c>
      <c r="Q7" s="3714"/>
      <c r="R7" s="701" t="s">
        <v>14</v>
      </c>
      <c r="S7" s="702">
        <f t="shared" ref="S7:S15" si="0">F7</f>
        <v>0</v>
      </c>
      <c r="T7" s="701" t="s">
        <v>14</v>
      </c>
      <c r="U7" s="702">
        <f t="shared" ref="U7:U15" si="1">H7</f>
        <v>0</v>
      </c>
      <c r="V7" s="701" t="s">
        <v>14</v>
      </c>
      <c r="W7" s="702">
        <f t="shared" ref="W7:W15" si="2">J7</f>
        <v>0</v>
      </c>
      <c r="X7" s="703"/>
      <c r="Y7" s="3712" t="s">
        <v>1678</v>
      </c>
      <c r="Z7" s="3713"/>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12" t="s">
        <v>1681</v>
      </c>
      <c r="Q8" s="3713"/>
      <c r="R8" s="701" t="s">
        <v>14</v>
      </c>
      <c r="S8" s="702">
        <f t="shared" si="0"/>
        <v>0</v>
      </c>
      <c r="T8" s="701" t="s">
        <v>14</v>
      </c>
      <c r="U8" s="702">
        <f t="shared" si="1"/>
        <v>0</v>
      </c>
      <c r="V8" s="701" t="s">
        <v>14</v>
      </c>
      <c r="W8" s="702">
        <f t="shared" si="2"/>
        <v>0</v>
      </c>
      <c r="X8" s="703"/>
      <c r="Y8" s="3712" t="s">
        <v>1681</v>
      </c>
      <c r="Z8" s="3713"/>
      <c r="AA8" s="704" t="e">
        <f t="shared" ref="AA8:AA40" si="3">D8/F8</f>
        <v>#DIV/0!</v>
      </c>
      <c r="AB8" s="704" t="e">
        <f t="shared" ref="AB8:AB40" si="4">D8/H8</f>
        <v>#DIV/0!</v>
      </c>
      <c r="AC8" s="704" t="e">
        <f t="shared" ref="AC8:AC40" si="5">D8/J8</f>
        <v>#DIV/0!</v>
      </c>
    </row>
    <row r="9" spans="1:29" s="108" customFormat="1">
      <c r="A9" s="369" t="s">
        <v>1682</v>
      </c>
      <c r="B9" s="63" t="s">
        <v>1683</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1684</v>
      </c>
      <c r="Q9" s="1343" t="str">
        <f t="shared" ref="Q9:Q15" si="6">B9</f>
        <v>用途</v>
      </c>
      <c r="R9" s="701" t="s">
        <v>14</v>
      </c>
      <c r="S9" s="702">
        <f t="shared" si="0"/>
        <v>100</v>
      </c>
      <c r="T9" s="701" t="s">
        <v>14</v>
      </c>
      <c r="U9" s="702">
        <f t="shared" si="1"/>
        <v>100</v>
      </c>
      <c r="V9" s="701" t="s">
        <v>14</v>
      </c>
      <c r="W9" s="702">
        <f t="shared" si="2"/>
        <v>100</v>
      </c>
      <c r="X9" s="703"/>
      <c r="Y9" s="3575"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121</v>
      </c>
      <c r="G10" s="383"/>
      <c r="H10" s="127">
        <f>ROUND(100/'数据-取费表'!G16,0)</f>
        <v>121</v>
      </c>
      <c r="I10" s="383"/>
      <c r="J10" s="127">
        <f>ROUND(100/'数据-取费表'!G16,0)</f>
        <v>121</v>
      </c>
      <c r="K10" s="620"/>
      <c r="L10" s="2719"/>
      <c r="M10" s="2720"/>
      <c r="N10" s="2720"/>
      <c r="O10" s="2773"/>
      <c r="P10" s="3673"/>
      <c r="Q10" s="1343" t="str">
        <f t="shared" si="6"/>
        <v>土地使用年限（年）</v>
      </c>
      <c r="R10" s="701" t="s">
        <v>14</v>
      </c>
      <c r="S10" s="702">
        <f t="shared" si="0"/>
        <v>121</v>
      </c>
      <c r="T10" s="701" t="s">
        <v>14</v>
      </c>
      <c r="U10" s="702">
        <f t="shared" si="1"/>
        <v>121</v>
      </c>
      <c r="V10" s="701" t="s">
        <v>14</v>
      </c>
      <c r="W10" s="702">
        <f t="shared" si="2"/>
        <v>121</v>
      </c>
      <c r="X10" s="703"/>
      <c r="Y10" s="3575"/>
      <c r="Z10" s="52" t="str">
        <f t="shared" si="7"/>
        <v>土地使用年限（年）</v>
      </c>
      <c r="AA10" s="704">
        <f t="shared" si="3"/>
        <v>0.82644628099173556</v>
      </c>
      <c r="AB10" s="704">
        <f t="shared" si="4"/>
        <v>0.82644628099173556</v>
      </c>
      <c r="AC10" s="704">
        <f t="shared" si="5"/>
        <v>0.82644628099173556</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7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7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7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75"/>
      <c r="Z14" s="52">
        <f t="shared" si="7"/>
        <v>111</v>
      </c>
      <c r="AA14" s="704">
        <f t="shared" si="3"/>
        <v>1</v>
      </c>
      <c r="AB14" s="704">
        <f t="shared" si="4"/>
        <v>1</v>
      </c>
      <c r="AC14" s="704">
        <f t="shared" si="5"/>
        <v>1</v>
      </c>
    </row>
    <row r="15" spans="1:29" ht="15">
      <c r="A15" s="391" t="s">
        <v>1688</v>
      </c>
      <c r="B15" s="577" t="s">
        <v>1918</v>
      </c>
      <c r="C15" s="1971">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0" t="s">
        <v>1689</v>
      </c>
      <c r="Q15" s="1352" t="str">
        <f t="shared" si="6"/>
        <v>产业集聚程度</v>
      </c>
      <c r="R15" s="705" t="s">
        <v>14</v>
      </c>
      <c r="S15" s="706">
        <f t="shared" si="0"/>
        <v>100</v>
      </c>
      <c r="T15" s="705" t="s">
        <v>14</v>
      </c>
      <c r="U15" s="706">
        <f t="shared" si="1"/>
        <v>100</v>
      </c>
      <c r="V15" s="705" t="s">
        <v>14</v>
      </c>
      <c r="W15" s="706">
        <f t="shared" si="2"/>
        <v>100</v>
      </c>
      <c r="X15" s="1355"/>
      <c r="Y15" s="3680" t="s">
        <v>1689</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1"/>
      <c r="Q16" s="1352"/>
      <c r="R16" s="705"/>
      <c r="S16" s="706"/>
      <c r="T16" s="705"/>
      <c r="U16" s="706"/>
      <c r="V16" s="705"/>
      <c r="W16" s="706"/>
      <c r="X16" s="1355"/>
      <c r="Y16" s="3681"/>
      <c r="Z16" s="1356"/>
      <c r="AA16" s="1353">
        <v>1</v>
      </c>
      <c r="AB16" s="1353">
        <v>1</v>
      </c>
      <c r="AC16" s="1353">
        <v>1</v>
      </c>
    </row>
    <row r="17" spans="1:29" ht="15">
      <c r="A17" s="379"/>
      <c r="B17" s="579" t="s">
        <v>1831</v>
      </c>
      <c r="C17" s="1900">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1"/>
      <c r="Q17" s="1352" t="str">
        <f>B17</f>
        <v>交通便捷度</v>
      </c>
      <c r="R17" s="705" t="s">
        <v>14</v>
      </c>
      <c r="S17" s="706">
        <f>F17</f>
        <v>100</v>
      </c>
      <c r="T17" s="705" t="s">
        <v>14</v>
      </c>
      <c r="U17" s="706">
        <f>H17</f>
        <v>100</v>
      </c>
      <c r="V17" s="705" t="s">
        <v>14</v>
      </c>
      <c r="W17" s="706">
        <f>J17</f>
        <v>100</v>
      </c>
      <c r="X17" s="1355"/>
      <c r="Y17" s="368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1"/>
      <c r="Q18" s="1352"/>
      <c r="R18" s="705"/>
      <c r="S18" s="706"/>
      <c r="T18" s="705"/>
      <c r="U18" s="706"/>
      <c r="V18" s="705"/>
      <c r="W18" s="706"/>
      <c r="X18" s="1355"/>
      <c r="Y18" s="3681"/>
      <c r="Z18" s="1356"/>
      <c r="AA18" s="1353">
        <v>1</v>
      </c>
      <c r="AB18" s="1353">
        <v>1</v>
      </c>
      <c r="AC18" s="1353">
        <v>1</v>
      </c>
    </row>
    <row r="19" spans="1:29" ht="15">
      <c r="A19" s="379"/>
      <c r="B19" s="579" t="s">
        <v>1869</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1"/>
      <c r="Q19" s="1352" t="str">
        <f t="shared" ref="Q19:Q33" si="8">B19</f>
        <v>区域土地利用方向</v>
      </c>
      <c r="R19" s="705" t="s">
        <v>14</v>
      </c>
      <c r="S19" s="706">
        <f>F19</f>
        <v>100</v>
      </c>
      <c r="T19" s="705" t="s">
        <v>14</v>
      </c>
      <c r="U19" s="706">
        <f>H19</f>
        <v>100</v>
      </c>
      <c r="V19" s="705" t="s">
        <v>14</v>
      </c>
      <c r="W19" s="706">
        <f>J19</f>
        <v>100</v>
      </c>
      <c r="X19" s="1355"/>
      <c r="Y19" s="368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1"/>
      <c r="Q20" s="1352"/>
      <c r="R20" s="705"/>
      <c r="S20" s="706"/>
      <c r="T20" s="705"/>
      <c r="U20" s="706"/>
      <c r="V20" s="705"/>
      <c r="W20" s="706"/>
      <c r="X20" s="1355"/>
      <c r="Y20" s="3681"/>
      <c r="Z20" s="1356"/>
      <c r="AA20" s="1353"/>
      <c r="AB20" s="1353"/>
      <c r="AC20" s="1353"/>
    </row>
    <row r="21" spans="1:29" ht="15">
      <c r="A21" s="358"/>
      <c r="B21" s="579" t="s">
        <v>1919</v>
      </c>
      <c r="C21" s="1900">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1"/>
      <c r="Q21" s="1352" t="str">
        <f t="shared" si="8"/>
        <v>环境状况</v>
      </c>
      <c r="R21" s="705" t="s">
        <v>14</v>
      </c>
      <c r="S21" s="706">
        <f>F21</f>
        <v>100</v>
      </c>
      <c r="T21" s="705" t="s">
        <v>14</v>
      </c>
      <c r="U21" s="706">
        <f>H21</f>
        <v>100</v>
      </c>
      <c r="V21" s="705" t="s">
        <v>14</v>
      </c>
      <c r="W21" s="706">
        <f>J21</f>
        <v>100</v>
      </c>
      <c r="X21" s="1355"/>
      <c r="Y21" s="368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1"/>
      <c r="Q22" s="1352"/>
      <c r="R22" s="705"/>
      <c r="S22" s="706"/>
      <c r="T22" s="705"/>
      <c r="U22" s="706"/>
      <c r="V22" s="705"/>
      <c r="W22" s="706"/>
      <c r="X22" s="1355"/>
      <c r="Y22" s="3681"/>
      <c r="Z22" s="1356"/>
      <c r="AA22" s="1353">
        <v>1</v>
      </c>
      <c r="AB22" s="1353">
        <v>1</v>
      </c>
      <c r="AC22" s="1353">
        <v>1</v>
      </c>
    </row>
    <row r="23" spans="1:29" s="108" customFormat="1" ht="15">
      <c r="A23" s="597"/>
      <c r="B23" s="581" t="s">
        <v>1776</v>
      </c>
      <c r="C23" s="1900">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1"/>
      <c r="Q23" s="1343" t="str">
        <f t="shared" si="8"/>
        <v>公共配套设施</v>
      </c>
      <c r="R23" s="701" t="s">
        <v>14</v>
      </c>
      <c r="S23" s="702">
        <f>F23</f>
        <v>100</v>
      </c>
      <c r="T23" s="701" t="s">
        <v>14</v>
      </c>
      <c r="U23" s="702">
        <f>H23</f>
        <v>100</v>
      </c>
      <c r="V23" s="701" t="s">
        <v>14</v>
      </c>
      <c r="W23" s="702">
        <f>J23</f>
        <v>100</v>
      </c>
      <c r="X23" s="703"/>
      <c r="Y23" s="368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1"/>
      <c r="Q24" s="1343"/>
      <c r="R24" s="701"/>
      <c r="S24" s="702"/>
      <c r="T24" s="701"/>
      <c r="U24" s="702"/>
      <c r="V24" s="701"/>
      <c r="W24" s="702"/>
      <c r="X24" s="703"/>
      <c r="Y24" s="3681"/>
      <c r="Z24" s="52"/>
      <c r="AA24" s="704">
        <v>1</v>
      </c>
      <c r="AB24" s="704">
        <v>1</v>
      </c>
      <c r="AC24" s="704">
        <v>1</v>
      </c>
    </row>
    <row r="25" spans="1:29" s="108" customFormat="1" ht="15">
      <c r="A25" s="597"/>
      <c r="B25" s="581" t="s">
        <v>1777</v>
      </c>
      <c r="C25" s="1900">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1"/>
      <c r="Q25" s="1343" t="str">
        <f t="shared" ref="Q25" si="9">B25</f>
        <v>基础设施水平</v>
      </c>
      <c r="R25" s="701" t="s">
        <v>14</v>
      </c>
      <c r="S25" s="702">
        <f>F25</f>
        <v>100</v>
      </c>
      <c r="T25" s="701" t="s">
        <v>14</v>
      </c>
      <c r="U25" s="702">
        <f>H25</f>
        <v>100</v>
      </c>
      <c r="V25" s="701" t="s">
        <v>14</v>
      </c>
      <c r="W25" s="702">
        <f>J25</f>
        <v>100</v>
      </c>
      <c r="X25" s="703"/>
      <c r="Y25" s="368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1"/>
      <c r="Q26" s="1343"/>
      <c r="R26" s="701"/>
      <c r="S26" s="702"/>
      <c r="T26" s="701"/>
      <c r="U26" s="702"/>
      <c r="V26" s="701"/>
      <c r="W26" s="702"/>
      <c r="X26" s="703"/>
      <c r="Y26" s="3681"/>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1"/>
      <c r="Z27" s="1356" t="str">
        <f t="shared" ref="Z27:Z40" si="13">Q27</f>
        <v>临街状况</v>
      </c>
      <c r="AA27" s="1353">
        <f t="shared" si="3"/>
        <v>1</v>
      </c>
      <c r="AB27" s="1353">
        <f t="shared" si="4"/>
        <v>1</v>
      </c>
      <c r="AC27" s="1353">
        <f t="shared" si="5"/>
        <v>1</v>
      </c>
    </row>
    <row r="28" spans="1:29" ht="27">
      <c r="A28" s="379"/>
      <c r="B28" s="581" t="s">
        <v>1813</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1"/>
      <c r="Q28" s="1352" t="str">
        <f t="shared" si="8"/>
        <v>毗邻道路的类型与等级</v>
      </c>
      <c r="R28" s="705" t="s">
        <v>14</v>
      </c>
      <c r="S28" s="706">
        <f t="shared" si="10"/>
        <v>100</v>
      </c>
      <c r="T28" s="705" t="s">
        <v>14</v>
      </c>
      <c r="U28" s="706">
        <f t="shared" si="11"/>
        <v>100</v>
      </c>
      <c r="V28" s="705" t="s">
        <v>14</v>
      </c>
      <c r="W28" s="706">
        <f t="shared" si="12"/>
        <v>100</v>
      </c>
      <c r="X28" s="1355"/>
      <c r="Y28" s="368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1"/>
      <c r="Q29" s="1352"/>
      <c r="R29" s="705"/>
      <c r="S29" s="706"/>
      <c r="T29" s="705"/>
      <c r="U29" s="706"/>
      <c r="V29" s="705"/>
      <c r="W29" s="706"/>
      <c r="X29" s="1355"/>
      <c r="Y29" s="3681"/>
      <c r="Z29" s="1356"/>
      <c r="AA29" s="1353">
        <v>1</v>
      </c>
      <c r="AB29" s="1353">
        <v>1</v>
      </c>
      <c r="AC29" s="1353">
        <v>1</v>
      </c>
    </row>
    <row r="30" spans="1:29" ht="15">
      <c r="A30" s="379"/>
      <c r="B30" s="602" t="s">
        <v>1871</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1"/>
      <c r="Q30" s="1352" t="str">
        <f t="shared" si="8"/>
        <v>土地级别</v>
      </c>
      <c r="R30" s="705" t="s">
        <v>14</v>
      </c>
      <c r="S30" s="706">
        <f t="shared" si="10"/>
        <v>100</v>
      </c>
      <c r="T30" s="705" t="s">
        <v>14</v>
      </c>
      <c r="U30" s="706">
        <f t="shared" si="11"/>
        <v>100</v>
      </c>
      <c r="V30" s="705" t="s">
        <v>14</v>
      </c>
      <c r="W30" s="706">
        <f t="shared" si="12"/>
        <v>100</v>
      </c>
      <c r="X30" s="1355"/>
      <c r="Y30" s="368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1"/>
      <c r="Q31" s="1352">
        <f t="shared" si="8"/>
        <v>111</v>
      </c>
      <c r="R31" s="705" t="s">
        <v>14</v>
      </c>
      <c r="S31" s="706">
        <f t="shared" si="10"/>
        <v>100</v>
      </c>
      <c r="T31" s="705" t="s">
        <v>14</v>
      </c>
      <c r="U31" s="706">
        <f t="shared" si="11"/>
        <v>100</v>
      </c>
      <c r="V31" s="705" t="s">
        <v>14</v>
      </c>
      <c r="W31" s="706">
        <f t="shared" si="12"/>
        <v>100</v>
      </c>
      <c r="X31" s="1355"/>
      <c r="Y31" s="368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77" t="s">
        <v>1694</v>
      </c>
      <c r="Q32" s="1352">
        <f t="shared" si="8"/>
        <v>111</v>
      </c>
      <c r="R32" s="705" t="s">
        <v>14</v>
      </c>
      <c r="S32" s="706">
        <f t="shared" si="10"/>
        <v>100</v>
      </c>
      <c r="T32" s="705" t="s">
        <v>14</v>
      </c>
      <c r="U32" s="706">
        <f t="shared" si="11"/>
        <v>100</v>
      </c>
      <c r="V32" s="705" t="s">
        <v>14</v>
      </c>
      <c r="W32" s="706">
        <f t="shared" si="12"/>
        <v>100</v>
      </c>
      <c r="X32" s="1355"/>
      <c r="Y32" s="3685" t="s">
        <v>1694</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5"/>
      <c r="Q33" s="1352">
        <f t="shared" si="8"/>
        <v>111</v>
      </c>
      <c r="R33" s="708" t="s">
        <v>14</v>
      </c>
      <c r="S33" s="709">
        <f t="shared" si="10"/>
        <v>100</v>
      </c>
      <c r="T33" s="708" t="s">
        <v>14</v>
      </c>
      <c r="U33" s="709">
        <f t="shared" si="11"/>
        <v>100</v>
      </c>
      <c r="V33" s="708" t="s">
        <v>14</v>
      </c>
      <c r="W33" s="709">
        <f t="shared" si="12"/>
        <v>100</v>
      </c>
      <c r="X33" s="710"/>
      <c r="Y33" s="3685"/>
      <c r="Z33" s="711">
        <f t="shared" si="13"/>
        <v>111</v>
      </c>
      <c r="AA33" s="1353">
        <f t="shared" si="3"/>
        <v>1</v>
      </c>
      <c r="AB33" s="1353">
        <f t="shared" si="4"/>
        <v>1</v>
      </c>
      <c r="AC33" s="1353">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5"/>
      <c r="Q34" s="1352" t="str">
        <f>B34</f>
        <v>宗地面积</v>
      </c>
      <c r="R34" s="705" t="s">
        <v>14</v>
      </c>
      <c r="S34" s="706" t="e">
        <f t="shared" si="10"/>
        <v>#N/A</v>
      </c>
      <c r="T34" s="705" t="s">
        <v>14</v>
      </c>
      <c r="U34" s="706" t="e">
        <f t="shared" si="11"/>
        <v>#N/A</v>
      </c>
      <c r="V34" s="705" t="s">
        <v>14</v>
      </c>
      <c r="W34" s="706" t="e">
        <f t="shared" si="12"/>
        <v>#N/A</v>
      </c>
      <c r="X34" s="1355"/>
      <c r="Y34" s="3685"/>
      <c r="Z34" s="1356" t="str">
        <f t="shared" si="13"/>
        <v>宗地面积</v>
      </c>
      <c r="AA34" s="1353" t="e">
        <f t="shared" si="3"/>
        <v>#N/A</v>
      </c>
      <c r="AB34" s="1353" t="e">
        <f t="shared" si="4"/>
        <v>#N/A</v>
      </c>
      <c r="AC34" s="1353" t="e">
        <f t="shared" si="5"/>
        <v>#N/A</v>
      </c>
    </row>
    <row r="35" spans="1:31" ht="15">
      <c r="A35" s="423"/>
      <c r="B35" s="375" t="s">
        <v>1873</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5"/>
      <c r="Q35" s="1352" t="str">
        <f t="shared" ref="Q35:Q40" si="14">B35</f>
        <v>宗地形状</v>
      </c>
      <c r="R35" s="705" t="s">
        <v>14</v>
      </c>
      <c r="S35" s="706">
        <f t="shared" si="10"/>
        <v>100</v>
      </c>
      <c r="T35" s="705" t="s">
        <v>14</v>
      </c>
      <c r="U35" s="706">
        <f t="shared" si="11"/>
        <v>100</v>
      </c>
      <c r="V35" s="705" t="s">
        <v>14</v>
      </c>
      <c r="W35" s="706">
        <f t="shared" si="12"/>
        <v>100</v>
      </c>
      <c r="X35" s="1355"/>
      <c r="Y35" s="3685"/>
      <c r="Z35" s="1356" t="str">
        <f t="shared" si="13"/>
        <v>宗地形状</v>
      </c>
      <c r="AA35" s="1353">
        <f t="shared" si="3"/>
        <v>1</v>
      </c>
      <c r="AB35" s="1353">
        <f t="shared" si="4"/>
        <v>1</v>
      </c>
      <c r="AC35" s="1353">
        <f t="shared" si="5"/>
        <v>1</v>
      </c>
    </row>
    <row r="36" spans="1:31" s="108" customFormat="1" ht="15">
      <c r="A36" s="424"/>
      <c r="B36" s="375" t="s">
        <v>1875</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5"/>
      <c r="Q36" s="1352" t="str">
        <f t="shared" si="14"/>
        <v>宗地开发程度</v>
      </c>
      <c r="R36" s="701" t="s">
        <v>14</v>
      </c>
      <c r="S36" s="702">
        <f t="shared" si="10"/>
        <v>100</v>
      </c>
      <c r="T36" s="701" t="s">
        <v>14</v>
      </c>
      <c r="U36" s="702">
        <f t="shared" si="11"/>
        <v>100</v>
      </c>
      <c r="V36" s="701" t="s">
        <v>14</v>
      </c>
      <c r="W36" s="702">
        <f t="shared" si="12"/>
        <v>100</v>
      </c>
      <c r="X36" s="703"/>
      <c r="Y36" s="3685"/>
      <c r="Z36" s="52" t="str">
        <f t="shared" si="13"/>
        <v>宗地开发程度</v>
      </c>
      <c r="AA36" s="704">
        <f t="shared" si="3"/>
        <v>1</v>
      </c>
      <c r="AB36" s="704">
        <f t="shared" si="4"/>
        <v>1</v>
      </c>
      <c r="AC36" s="704">
        <f t="shared" si="5"/>
        <v>1</v>
      </c>
    </row>
    <row r="37" spans="1:31" ht="15">
      <c r="A37" s="423"/>
      <c r="B37" s="375" t="s">
        <v>1876</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5" t="s">
        <v>1694</v>
      </c>
      <c r="Q37" s="1352" t="str">
        <f t="shared" si="14"/>
        <v>工程地质条件</v>
      </c>
      <c r="R37" s="705" t="s">
        <v>14</v>
      </c>
      <c r="S37" s="706">
        <f t="shared" si="10"/>
        <v>100</v>
      </c>
      <c r="T37" s="705" t="s">
        <v>14</v>
      </c>
      <c r="U37" s="706">
        <f t="shared" si="11"/>
        <v>100</v>
      </c>
      <c r="V37" s="705" t="s">
        <v>14</v>
      </c>
      <c r="W37" s="706">
        <f t="shared" si="12"/>
        <v>100</v>
      </c>
      <c r="X37" s="1355"/>
      <c r="Y37" s="3685" t="s">
        <v>1694</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5"/>
      <c r="Q38" s="1352">
        <f t="shared" si="14"/>
        <v>111</v>
      </c>
      <c r="R38" s="705" t="s">
        <v>14</v>
      </c>
      <c r="S38" s="706">
        <f t="shared" si="10"/>
        <v>100</v>
      </c>
      <c r="T38" s="705" t="s">
        <v>14</v>
      </c>
      <c r="U38" s="706">
        <f t="shared" si="11"/>
        <v>100</v>
      </c>
      <c r="V38" s="705" t="s">
        <v>14</v>
      </c>
      <c r="W38" s="706">
        <f t="shared" si="12"/>
        <v>100</v>
      </c>
      <c r="X38" s="1355"/>
      <c r="Y38" s="368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5"/>
      <c r="Q39" s="1352">
        <f t="shared" si="14"/>
        <v>111</v>
      </c>
      <c r="R39" s="705" t="s">
        <v>14</v>
      </c>
      <c r="S39" s="706">
        <f t="shared" si="10"/>
        <v>100</v>
      </c>
      <c r="T39" s="705" t="s">
        <v>14</v>
      </c>
      <c r="U39" s="706">
        <f t="shared" si="11"/>
        <v>100</v>
      </c>
      <c r="V39" s="705" t="s">
        <v>14</v>
      </c>
      <c r="W39" s="706">
        <f t="shared" si="12"/>
        <v>100</v>
      </c>
      <c r="X39" s="1355"/>
      <c r="Y39" s="368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5"/>
      <c r="Q40" s="1352">
        <f t="shared" si="14"/>
        <v>111</v>
      </c>
      <c r="R40" s="708" t="s">
        <v>14</v>
      </c>
      <c r="S40" s="709">
        <f t="shared" si="10"/>
        <v>100</v>
      </c>
      <c r="T40" s="708" t="s">
        <v>14</v>
      </c>
      <c r="U40" s="709">
        <f t="shared" si="11"/>
        <v>100</v>
      </c>
      <c r="V40" s="708" t="s">
        <v>14</v>
      </c>
      <c r="W40" s="709">
        <f t="shared" si="12"/>
        <v>100</v>
      </c>
      <c r="X40" s="710"/>
      <c r="Y40" s="3685"/>
      <c r="Z40" s="711">
        <f t="shared" si="13"/>
        <v>111</v>
      </c>
      <c r="AA40" s="1353">
        <f t="shared" si="3"/>
        <v>1</v>
      </c>
      <c r="AB40" s="1353">
        <f t="shared" si="4"/>
        <v>1</v>
      </c>
      <c r="AC40" s="1353">
        <f t="shared" si="5"/>
        <v>1</v>
      </c>
    </row>
    <row r="41" spans="1:31" ht="15">
      <c r="A41" s="430" t="s">
        <v>1842</v>
      </c>
      <c r="B41" s="1982" t="s">
        <v>1920</v>
      </c>
      <c r="C41" s="630" t="s">
        <v>0</v>
      </c>
      <c r="D41" s="432"/>
      <c r="E41" s="433"/>
      <c r="F41" s="434"/>
      <c r="G41" s="435"/>
      <c r="H41" s="436"/>
      <c r="I41" s="433"/>
      <c r="J41" s="436"/>
      <c r="K41" s="714"/>
      <c r="L41" s="2724"/>
      <c r="M41" s="2716"/>
      <c r="N41" s="2716"/>
      <c r="O41" s="2725"/>
      <c r="P41" s="3673" t="str">
        <f>A41</f>
        <v>成交单价</v>
      </c>
      <c r="Q41" s="3673"/>
      <c r="R41" s="3687">
        <f>E41</f>
        <v>0</v>
      </c>
      <c r="S41" s="3687"/>
      <c r="T41" s="3687">
        <f>G41</f>
        <v>0</v>
      </c>
      <c r="U41" s="3687"/>
      <c r="V41" s="3687">
        <f>I41</f>
        <v>0</v>
      </c>
      <c r="W41" s="3687"/>
      <c r="X41" s="690"/>
      <c r="Y41" s="712"/>
      <c r="Z41" s="690"/>
      <c r="AA41" s="690"/>
      <c r="AB41" s="690"/>
      <c r="AC41" s="690"/>
    </row>
    <row r="42" spans="1:31" ht="15.75" thickBot="1">
      <c r="A42" s="437" t="s">
        <v>1791</v>
      </c>
      <c r="B42" s="631"/>
      <c r="C42" s="440" t="e">
        <f>R43</f>
        <v>#DIV/0!</v>
      </c>
      <c r="D42" s="2317" t="s">
        <v>2136</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79" t="e">
        <f>ROUND(PRODUCT(R41,AA7:AA40),0)</f>
        <v>#DIV/0!</v>
      </c>
      <c r="S42" s="3779"/>
      <c r="T42" s="3779" t="e">
        <f>ROUND(PRODUCT(T41,AB7:AB40),0)</f>
        <v>#DIV/0!</v>
      </c>
      <c r="U42" s="3779"/>
      <c r="V42" s="3779" t="e">
        <f>ROUND(PRODUCT(V41,AC7:AC40),0)</f>
        <v>#DIV/0!</v>
      </c>
      <c r="W42" s="3779"/>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24"/>
      <c r="M43" s="2716"/>
      <c r="N43" s="2716"/>
      <c r="O43" s="2725"/>
      <c r="P43" s="3675" t="str">
        <f>A43</f>
        <v>估价对象XX用房的比较价值（楼面单价，元/平方米）</v>
      </c>
      <c r="Q43" s="3676"/>
      <c r="R43" s="3780" t="e">
        <f>ROUND(IF(D42="简单平均",AVERAGE(R42:W42),R42*F42+T42*H42+V42*J42),0)</f>
        <v>#DIV/0!</v>
      </c>
      <c r="S43" s="3780"/>
      <c r="T43" s="3780"/>
      <c r="U43" s="3780"/>
      <c r="V43" s="3780"/>
      <c r="W43" s="378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1879</v>
      </c>
      <c r="B50" s="633" t="s">
        <v>1880</v>
      </c>
      <c r="C50" s="1983" t="s">
        <v>1881</v>
      </c>
      <c r="D50" s="1984" t="s">
        <v>1882</v>
      </c>
      <c r="E50" s="634" t="s">
        <v>1883</v>
      </c>
      <c r="F50" s="635" t="s">
        <v>1884</v>
      </c>
      <c r="G50" s="3692" t="s">
        <v>1885</v>
      </c>
      <c r="H50" s="3781"/>
      <c r="I50" s="1356" t="s">
        <v>1921</v>
      </c>
      <c r="J50" s="1356">
        <f>项目基本情况!F35</f>
        <v>0</v>
      </c>
      <c r="K50" s="1986" t="s">
        <v>1887</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1888</v>
      </c>
      <c r="B51" s="637" t="e">
        <f>C43</f>
        <v>#DIV/0!</v>
      </c>
      <c r="C51" s="638">
        <v>1</v>
      </c>
      <c r="D51" s="944">
        <v>1</v>
      </c>
      <c r="E51" s="638">
        <f>'数据-汇总表'!E8+'数据-汇总表'!E9</f>
        <v>778.02</v>
      </c>
      <c r="F51" s="639" t="e">
        <f t="shared" ref="F51:F60" si="15">ROUND(B51*E51/10000,0)</f>
        <v>#DIV/0!</v>
      </c>
      <c r="G51" s="3688"/>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1889</v>
      </c>
      <c r="B52" s="218" t="e">
        <f>ROUND($C$43*C52*D52,0)</f>
        <v>#DIV/0!</v>
      </c>
      <c r="C52" s="171">
        <f t="shared" ref="C52:C60" si="16">IF($C$50="北京市系数",I52,J52)</f>
        <v>0.7</v>
      </c>
      <c r="D52" s="945">
        <v>0.25</v>
      </c>
      <c r="E52" s="642"/>
      <c r="F52" s="639" t="e">
        <f t="shared" si="15"/>
        <v>#DIV/0!</v>
      </c>
      <c r="G52" s="3006" t="s">
        <v>1890</v>
      </c>
      <c r="H52" s="887" t="str">
        <f>项目基本情况!B37</f>
        <v>二级</v>
      </c>
      <c r="I52" s="773">
        <f>SUMIF(修正!A57:A68,H52,修正!B57:B68)</f>
        <v>0.7</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1891</v>
      </c>
      <c r="B53" s="218" t="e">
        <f t="shared" ref="B53:B60" si="17">ROUND($C$43*C53*D53,0)</f>
        <v>#DIV/0!</v>
      </c>
      <c r="C53" s="171">
        <f t="shared" si="16"/>
        <v>0.4</v>
      </c>
      <c r="D53" s="945">
        <v>0.25</v>
      </c>
      <c r="E53" s="642"/>
      <c r="F53" s="639" t="e">
        <f t="shared" si="15"/>
        <v>#DIV/0!</v>
      </c>
      <c r="G53" s="3007"/>
      <c r="H53" s="887" t="str">
        <f>项目基本情况!B37</f>
        <v>二级</v>
      </c>
      <c r="I53" s="773">
        <f>SUMIF(修正!A57:A68,H53,修正!C57:C68)</f>
        <v>0.4</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1892</v>
      </c>
      <c r="B54" s="218" t="e">
        <f t="shared" si="17"/>
        <v>#DIV/0!</v>
      </c>
      <c r="C54" s="171">
        <f t="shared" si="16"/>
        <v>0.3</v>
      </c>
      <c r="D54" s="945">
        <v>0.25</v>
      </c>
      <c r="E54" s="642"/>
      <c r="F54" s="639" t="e">
        <f t="shared" si="15"/>
        <v>#DIV/0!</v>
      </c>
      <c r="G54" s="3007"/>
      <c r="H54" s="887" t="str">
        <f>项目基本情况!B37</f>
        <v>二级</v>
      </c>
      <c r="I54" s="773">
        <f>SUMIF(修正!A57:A68,H54,修正!D57:D68)</f>
        <v>0.3</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1893</v>
      </c>
      <c r="B56" s="218" t="e">
        <f t="shared" si="17"/>
        <v>#DIV/0!</v>
      </c>
      <c r="C56" s="171">
        <f t="shared" si="16"/>
        <v>0.3</v>
      </c>
      <c r="D56" s="945">
        <v>0.25</v>
      </c>
      <c r="E56" s="217">
        <f>'数据-汇总表'!E11</f>
        <v>0</v>
      </c>
      <c r="F56" s="639" t="e">
        <f t="shared" si="15"/>
        <v>#DIV/0!</v>
      </c>
      <c r="G56" s="1987" t="s">
        <v>1894</v>
      </c>
      <c r="H56" s="887" t="str">
        <f>项目基本情况!C37</f>
        <v>二级</v>
      </c>
      <c r="I56" s="773">
        <f>SUMIF(修正!A57:A68,H56,修正!E57:E68)</f>
        <v>0.3</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1895</v>
      </c>
      <c r="B57" s="218" t="e">
        <f t="shared" si="17"/>
        <v>#DIV/0!</v>
      </c>
      <c r="C57" s="171">
        <f t="shared" si="16"/>
        <v>0.3</v>
      </c>
      <c r="D57" s="945">
        <v>0.25</v>
      </c>
      <c r="E57" s="217">
        <f>'数据-汇总表'!E12</f>
        <v>0</v>
      </c>
      <c r="F57" s="639" t="e">
        <f t="shared" si="15"/>
        <v>#DIV/0!</v>
      </c>
      <c r="G57" s="892" t="s">
        <v>1896</v>
      </c>
      <c r="H57" s="887" t="str">
        <f>IF(G57="商业",项目基本情况!B37,IF(G57="办公",项目基本情况!C37,IF(G57="住宅",项目基本情况!D37,项目基本情况!E37)))</f>
        <v>二级</v>
      </c>
      <c r="I57" s="773">
        <f>SUMIF(修正!A57:A68,H57,修正!F57:F68)</f>
        <v>0.3</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1897</v>
      </c>
      <c r="B58" s="218" t="e">
        <f t="shared" si="17"/>
        <v>#DIV/0!</v>
      </c>
      <c r="C58" s="171">
        <f t="shared" si="16"/>
        <v>0</v>
      </c>
      <c r="D58" s="945">
        <v>0.25</v>
      </c>
      <c r="E58" s="217">
        <f>'数据-汇总表'!E13</f>
        <v>0</v>
      </c>
      <c r="F58" s="639" t="e">
        <f t="shared" si="15"/>
        <v>#DIV/0!</v>
      </c>
      <c r="G58" s="892" t="s">
        <v>1898</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1899</v>
      </c>
      <c r="B59" s="218" t="e">
        <f t="shared" si="17"/>
        <v>#DIV/0!</v>
      </c>
      <c r="C59" s="171">
        <f t="shared" si="16"/>
        <v>0.2</v>
      </c>
      <c r="D59" s="945">
        <v>0.25</v>
      </c>
      <c r="E59" s="217">
        <f>'数据-汇总表'!E14</f>
        <v>0</v>
      </c>
      <c r="F59" s="639" t="e">
        <f t="shared" si="15"/>
        <v>#DIV/0!</v>
      </c>
      <c r="G59" s="1987" t="s">
        <v>1890</v>
      </c>
      <c r="H59" s="887" t="str">
        <f>项目基本情况!B37</f>
        <v>二级</v>
      </c>
      <c r="I59" s="773">
        <f>SUMIF(修正!A57:A68,H59,修正!G57:G68)</f>
        <v>0.2</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1900</v>
      </c>
      <c r="B60" s="218" t="e">
        <f t="shared" si="17"/>
        <v>#DIV/0!</v>
      </c>
      <c r="C60" s="171">
        <f t="shared" si="16"/>
        <v>0.2</v>
      </c>
      <c r="D60" s="945">
        <v>0.25</v>
      </c>
      <c r="E60" s="217">
        <f>'数据-汇总表'!E15</f>
        <v>0</v>
      </c>
      <c r="F60" s="639" t="e">
        <f t="shared" si="15"/>
        <v>#DIV/0!</v>
      </c>
      <c r="G60" s="1988" t="s">
        <v>1894</v>
      </c>
      <c r="H60" s="897" t="str">
        <f>项目基本情况!C37</f>
        <v>二级</v>
      </c>
      <c r="I60" s="773">
        <f>SUMIF(修正!A57:A68,H60,修正!G57:G68)</f>
        <v>0.2</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1796</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1902</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1922</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1714</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1679</v>
      </c>
      <c r="B68" s="459"/>
      <c r="C68" s="471" t="s">
        <v>1774</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1717</v>
      </c>
      <c r="B70" s="477" t="s">
        <v>1683</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1686</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1688</v>
      </c>
      <c r="B83" s="477" t="s">
        <v>1827</v>
      </c>
      <c r="C83" s="522" t="s">
        <v>1719</v>
      </c>
      <c r="D83" s="522" t="s">
        <v>1720</v>
      </c>
      <c r="E83" s="522" t="s">
        <v>1721</v>
      </c>
      <c r="F83" s="522" t="s">
        <v>1722</v>
      </c>
      <c r="G83" s="522" t="s">
        <v>1723</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1724</v>
      </c>
      <c r="C85" s="527" t="s">
        <v>1719</v>
      </c>
      <c r="D85" s="527" t="s">
        <v>1720</v>
      </c>
      <c r="E85" s="527" t="s">
        <v>1721</v>
      </c>
      <c r="F85" s="527" t="s">
        <v>1722</v>
      </c>
      <c r="G85" s="527" t="s">
        <v>1723</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1813</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1871</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1912</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1914</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1915</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2081</v>
      </c>
      <c r="C1" s="3789" t="s">
        <v>2082</v>
      </c>
      <c r="D1" s="3790"/>
      <c r="E1" s="3790"/>
      <c r="F1" s="3790"/>
      <c r="G1" s="3790"/>
      <c r="H1" s="3790"/>
      <c r="I1" s="3790"/>
      <c r="J1" s="3790"/>
      <c r="K1" s="3790"/>
      <c r="L1" s="3790"/>
      <c r="M1" s="3790"/>
      <c r="N1" s="3790"/>
      <c r="O1" s="3790"/>
      <c r="P1" s="3790"/>
      <c r="Q1" s="3790"/>
      <c r="R1" s="3790"/>
      <c r="S1" s="3791"/>
      <c r="T1" s="983" t="s">
        <v>2083</v>
      </c>
    </row>
    <row r="2" spans="1:45" s="655" customFormat="1">
      <c r="A2" s="984"/>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2085</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2086</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2087</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2088</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2089</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2090</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2091</v>
      </c>
      <c r="B17" s="2149" t="s">
        <v>2092</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2093</v>
      </c>
      <c r="E19" s="1340"/>
      <c r="F19" s="1340"/>
      <c r="G19" s="1340"/>
      <c r="H19" s="1059"/>
      <c r="I19" s="159"/>
      <c r="J19" s="159"/>
      <c r="K19" s="159"/>
      <c r="L19" s="159"/>
      <c r="M19" s="159"/>
      <c r="N19" s="159"/>
      <c r="O19" s="159"/>
      <c r="P19" s="159"/>
      <c r="Q19" s="159"/>
      <c r="R19" s="718"/>
      <c r="S19" s="129"/>
    </row>
    <row r="20" spans="1:45" ht="16.5" thickBot="1">
      <c r="A20" s="662" t="s">
        <v>2094</v>
      </c>
      <c r="B20" s="294" t="e">
        <f ca="1">IF(D20="——",S22,S22-F20)</f>
        <v>#REF!</v>
      </c>
      <c r="C20" s="159"/>
      <c r="D20" s="2151"/>
      <c r="E20" s="1341"/>
      <c r="F20" s="983" t="e">
        <f ca="1">SUMIF(INDIRECT("'"&amp;H20&amp;"'"&amp;"!A:A"),"承租人权益价值",INDIRECT("'"&amp;H20&amp;"'"&amp;"!c:c"))</f>
        <v>#REF!</v>
      </c>
      <c r="G20" s="983" t="s">
        <v>2095</v>
      </c>
      <c r="H20" s="2152"/>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86" t="s">
        <v>27</v>
      </c>
      <c r="D22" s="3787"/>
      <c r="E22" s="3787"/>
      <c r="F22" s="3787"/>
      <c r="G22" s="3787"/>
      <c r="H22" s="3787"/>
      <c r="I22" s="3787"/>
      <c r="J22" s="3787"/>
      <c r="K22" s="3787"/>
      <c r="L22" s="3787"/>
      <c r="M22" s="3787"/>
      <c r="N22" s="3787"/>
      <c r="O22" s="3787"/>
      <c r="P22" s="3787"/>
      <c r="Q22" s="3788"/>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2079</v>
      </c>
      <c r="B1" s="2147"/>
      <c r="C1" s="2147"/>
      <c r="D1" s="2147"/>
      <c r="E1" s="2147"/>
      <c r="F1" s="2793"/>
      <c r="G1" s="2793"/>
      <c r="H1" s="2793"/>
      <c r="I1" s="2793"/>
      <c r="J1" s="2793"/>
      <c r="K1" s="2793"/>
      <c r="L1" s="2793"/>
      <c r="M1" s="2793"/>
      <c r="N1" s="2793"/>
      <c r="O1" s="2793"/>
      <c r="P1" s="2793"/>
    </row>
    <row r="2" spans="1:16" ht="15.75">
      <c r="A2" s="2145" t="s">
        <v>2071</v>
      </c>
      <c r="B2" s="2602">
        <f ca="1">SUMIF(B6:B13,"&lt;&gt;#ref!",B6:B13)</f>
        <v>0</v>
      </c>
      <c r="C2" s="2145" t="s">
        <v>2072</v>
      </c>
      <c r="D2" s="2145" t="s">
        <v>2073</v>
      </c>
      <c r="E2" s="2612">
        <f ca="1">SUMIF(E6:E13,"&lt;&gt;#ref!",E6:E13)</f>
        <v>105.14</v>
      </c>
      <c r="F2" s="2793"/>
      <c r="G2" s="2793"/>
      <c r="H2" s="2793"/>
      <c r="I2" s="2793"/>
      <c r="J2" s="2793"/>
      <c r="K2" s="2793"/>
      <c r="L2" s="2793"/>
      <c r="M2" s="2793"/>
      <c r="N2" s="2793"/>
      <c r="O2" s="2793"/>
      <c r="P2" s="2793"/>
    </row>
    <row r="3" spans="1:16" ht="15.75">
      <c r="A3" s="2145" t="s">
        <v>2074</v>
      </c>
      <c r="B3" s="2602">
        <f ca="1">ROUND(B2*10000/E2,0)</f>
        <v>0</v>
      </c>
      <c r="C3" s="2145" t="s">
        <v>2080</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2075</v>
      </c>
      <c r="B5" s="2610" t="s">
        <v>2076</v>
      </c>
      <c r="C5" s="2146"/>
      <c r="D5" s="2793"/>
      <c r="E5" s="2611" t="s">
        <v>2077</v>
      </c>
      <c r="F5" s="2793"/>
      <c r="G5" s="2793"/>
      <c r="H5" s="2793"/>
      <c r="I5" s="2793"/>
      <c r="J5" s="2793"/>
      <c r="K5" s="2793"/>
      <c r="L5" s="2793"/>
      <c r="M5" s="2793"/>
      <c r="N5" s="2793"/>
      <c r="O5" s="2793"/>
      <c r="P5" s="2793"/>
    </row>
    <row r="6" spans="1:16" ht="15.75">
      <c r="A6" s="2609" t="s">
        <v>2078</v>
      </c>
      <c r="B6" s="2602">
        <f ca="1">SUMIF(INDIRECT("'"&amp;A6&amp;"'"&amp;"!A:A"),"总价",INDIRECT("'"&amp;A6&amp;"'"&amp;"!B:B"))</f>
        <v>0</v>
      </c>
      <c r="C6" s="2145" t="s">
        <v>2072</v>
      </c>
      <c r="D6" s="2793"/>
      <c r="E6" s="2612">
        <f ca="1">SUMIF(INDIRECT("'"&amp;A6&amp;"'"&amp;"!C:C"),"建筑面积",INDIRECT("'"&amp;A6&amp;"'"&amp;"!D:D"))</f>
        <v>105.14</v>
      </c>
      <c r="F6" s="2793"/>
      <c r="G6" s="2793"/>
      <c r="H6" s="2793"/>
      <c r="I6" s="2793"/>
      <c r="J6" s="2793"/>
      <c r="K6" s="2793"/>
      <c r="L6" s="2793"/>
      <c r="M6" s="2793"/>
      <c r="N6" s="2793"/>
      <c r="O6" s="2793"/>
      <c r="P6" s="2793"/>
    </row>
    <row r="7" spans="1:16" ht="15.75">
      <c r="A7" s="2609"/>
      <c r="B7" s="2602" t="e">
        <f ca="1">SUMIF(INDIRECT("'"&amp;A7&amp;"'"&amp;"!A:A"),"总价",INDIRECT("'"&amp;A7&amp;"'"&amp;"!B:B"))</f>
        <v>#REF!</v>
      </c>
      <c r="C7" s="2145" t="s">
        <v>2072</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2072</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2072</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2072</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2072</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2072</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2072</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2587</v>
      </c>
      <c r="B1" s="3072" t="s">
        <v>2588</v>
      </c>
      <c r="C1" s="3072" t="s">
        <v>2589</v>
      </c>
      <c r="D1" s="3072" t="s">
        <v>2590</v>
      </c>
      <c r="E1" s="3072" t="s">
        <v>2591</v>
      </c>
      <c r="F1" s="3072" t="s">
        <v>2592</v>
      </c>
      <c r="G1" s="3072" t="s">
        <v>2593</v>
      </c>
      <c r="H1" s="3072" t="s">
        <v>2594</v>
      </c>
      <c r="I1" s="3072" t="s">
        <v>2595</v>
      </c>
      <c r="J1" s="3072" t="s">
        <v>2596</v>
      </c>
      <c r="K1" s="3072" t="s">
        <v>2597</v>
      </c>
      <c r="L1" s="3072" t="s">
        <v>2598</v>
      </c>
      <c r="M1" s="3073" t="s">
        <v>2599</v>
      </c>
    </row>
    <row r="2" spans="1:13" ht="19.5" customHeight="1">
      <c r="A2" s="3075" t="s">
        <v>2600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2603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2604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2605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2606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2607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2608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2609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2613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2614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2615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2616</v>
      </c>
      <c r="B18" s="3097"/>
      <c r="C18" s="3098"/>
      <c r="D18" s="3098"/>
      <c r="E18" s="3097"/>
      <c r="F18" s="3098"/>
      <c r="G18" s="3098"/>
    </row>
    <row r="19" spans="1:13" ht="19.5" customHeight="1" thickBot="1">
      <c r="A19" s="3095" t="s">
        <v>2617</v>
      </c>
      <c r="B19" s="3100" t="s">
        <v>2618</v>
      </c>
      <c r="C19" s="3100" t="s">
        <v>2619</v>
      </c>
      <c r="D19" s="3101"/>
      <c r="E19" s="3095" t="s">
        <v>2620</v>
      </c>
      <c r="F19" s="3102"/>
      <c r="G19" s="3102"/>
    </row>
    <row r="20" spans="1:13" ht="19.5" customHeight="1">
      <c r="A20" s="3801" t="s">
        <v>2600</v>
      </c>
      <c r="B20" s="3796" t="s">
        <v>2621</v>
      </c>
      <c r="C20" s="3103" t="s">
        <v>2432</v>
      </c>
      <c r="D20" s="3104"/>
      <c r="E20" s="3105">
        <v>1</v>
      </c>
      <c r="F20" s="3106" t="s">
        <v>2433</v>
      </c>
      <c r="G20" s="3106"/>
    </row>
    <row r="21" spans="1:13" ht="19.5" customHeight="1">
      <c r="A21" s="3802"/>
      <c r="B21" s="3795"/>
      <c r="C21" s="3107" t="s">
        <v>2434</v>
      </c>
      <c r="D21" s="3108"/>
      <c r="E21" s="3109">
        <v>1</v>
      </c>
      <c r="F21" s="3106" t="s">
        <v>2435</v>
      </c>
      <c r="G21" s="3106"/>
    </row>
    <row r="22" spans="1:13" ht="19.5" customHeight="1">
      <c r="A22" s="3802"/>
      <c r="B22" s="3795"/>
      <c r="C22" s="3107" t="s">
        <v>2436</v>
      </c>
      <c r="D22" s="3108"/>
      <c r="E22" s="3109">
        <v>0.9</v>
      </c>
      <c r="F22" s="3106" t="s">
        <v>2437</v>
      </c>
      <c r="G22" s="3106"/>
    </row>
    <row r="23" spans="1:13" ht="19.5" customHeight="1">
      <c r="A23" s="3802"/>
      <c r="B23" s="3795"/>
      <c r="C23" s="3107" t="s">
        <v>2438</v>
      </c>
      <c r="D23" s="3108"/>
      <c r="E23" s="3109">
        <v>0.9</v>
      </c>
      <c r="F23" s="3106" t="s">
        <v>2439</v>
      </c>
      <c r="G23" s="3106"/>
    </row>
    <row r="24" spans="1:13" ht="19.5" customHeight="1">
      <c r="A24" s="3802"/>
      <c r="B24" s="3795"/>
      <c r="C24" s="3107" t="s">
        <v>2440</v>
      </c>
      <c r="D24" s="3108"/>
      <c r="E24" s="3109">
        <v>0.8</v>
      </c>
      <c r="F24" s="3106" t="s">
        <v>2441</v>
      </c>
      <c r="G24" s="3106"/>
    </row>
    <row r="25" spans="1:13" ht="19.5" customHeight="1" thickBot="1">
      <c r="A25" s="3803"/>
      <c r="B25" s="3797"/>
      <c r="C25" s="3110" t="s">
        <v>2442</v>
      </c>
      <c r="D25" s="3111"/>
      <c r="E25" s="3112">
        <v>0.8</v>
      </c>
      <c r="F25" s="3106" t="s">
        <v>2443</v>
      </c>
      <c r="G25" s="3106"/>
    </row>
    <row r="26" spans="1:13" ht="19.5" customHeight="1" thickBot="1">
      <c r="A26" s="3113" t="s">
        <v>2622</v>
      </c>
      <c r="B26" s="3114" t="s">
        <v>2621</v>
      </c>
      <c r="C26" s="3115" t="s">
        <v>2623</v>
      </c>
      <c r="D26" s="3116"/>
      <c r="E26" s="3117">
        <v>1</v>
      </c>
      <c r="F26" s="3106" t="s">
        <v>2444</v>
      </c>
      <c r="G26" s="3106"/>
    </row>
    <row r="27" spans="1:13" ht="19.5" customHeight="1">
      <c r="A27" s="3798" t="s">
        <v>2624</v>
      </c>
      <c r="B27" s="3796" t="s">
        <v>2605</v>
      </c>
      <c r="C27" s="3103" t="s">
        <v>2445</v>
      </c>
      <c r="D27" s="3104"/>
      <c r="E27" s="3105">
        <v>1</v>
      </c>
      <c r="F27" s="3106" t="s">
        <v>2446</v>
      </c>
      <c r="G27" s="3106"/>
    </row>
    <row r="28" spans="1:13" ht="19.5" customHeight="1">
      <c r="A28" s="3799"/>
      <c r="B28" s="3795"/>
      <c r="C28" s="3107" t="s">
        <v>2447</v>
      </c>
      <c r="D28" s="3108"/>
      <c r="E28" s="3109">
        <v>1</v>
      </c>
      <c r="F28" s="3106" t="s">
        <v>2448</v>
      </c>
      <c r="G28" s="3106"/>
    </row>
    <row r="29" spans="1:13" ht="19.5" customHeight="1">
      <c r="A29" s="3799"/>
      <c r="B29" s="3795"/>
      <c r="C29" s="3107" t="s">
        <v>2449</v>
      </c>
      <c r="D29" s="3108"/>
      <c r="E29" s="3109">
        <v>0.8</v>
      </c>
      <c r="F29" s="3106" t="s">
        <v>2450</v>
      </c>
      <c r="G29" s="3106"/>
    </row>
    <row r="30" spans="1:13" ht="19.5" customHeight="1">
      <c r="A30" s="3799"/>
      <c r="B30" s="3795"/>
      <c r="C30" s="3107" t="s">
        <v>2451</v>
      </c>
      <c r="D30" s="3108"/>
      <c r="E30" s="3109">
        <v>0.8</v>
      </c>
      <c r="F30" s="3106" t="s">
        <v>2452</v>
      </c>
      <c r="G30" s="3106"/>
    </row>
    <row r="31" spans="1:13" ht="19.5" customHeight="1">
      <c r="A31" s="3799"/>
      <c r="B31" s="3795"/>
      <c r="C31" s="3107" t="s">
        <v>2453</v>
      </c>
      <c r="D31" s="3108"/>
      <c r="E31" s="3109">
        <v>0.8</v>
      </c>
      <c r="F31" s="3106" t="s">
        <v>2454</v>
      </c>
      <c r="G31" s="3106"/>
    </row>
    <row r="32" spans="1:13" ht="19.5" customHeight="1">
      <c r="A32" s="3799"/>
      <c r="B32" s="3795"/>
      <c r="C32" s="3107" t="s">
        <v>2455</v>
      </c>
      <c r="D32" s="3108"/>
      <c r="E32" s="3109">
        <v>0.7</v>
      </c>
      <c r="F32" s="3106" t="s">
        <v>2456</v>
      </c>
      <c r="G32" s="3106"/>
    </row>
    <row r="33" spans="1:7" ht="19.5" customHeight="1">
      <c r="A33" s="3799"/>
      <c r="B33" s="3795"/>
      <c r="C33" s="3107" t="s">
        <v>2457</v>
      </c>
      <c r="D33" s="3108"/>
      <c r="E33" s="3109">
        <v>0.8</v>
      </c>
      <c r="F33" s="3106" t="s">
        <v>2458</v>
      </c>
      <c r="G33" s="3106"/>
    </row>
    <row r="34" spans="1:7" ht="19.5" customHeight="1">
      <c r="A34" s="3799"/>
      <c r="B34" s="3795"/>
      <c r="C34" s="3107" t="s">
        <v>2459</v>
      </c>
      <c r="D34" s="3108"/>
      <c r="E34" s="3109">
        <v>0.6</v>
      </c>
      <c r="F34" s="3106" t="s">
        <v>2460</v>
      </c>
      <c r="G34" s="3106"/>
    </row>
    <row r="35" spans="1:7" ht="19.5" customHeight="1">
      <c r="A35" s="3799"/>
      <c r="B35" s="3795"/>
      <c r="C35" s="3107" t="s">
        <v>2461</v>
      </c>
      <c r="D35" s="3108"/>
      <c r="E35" s="3109">
        <v>0.2</v>
      </c>
      <c r="F35" s="3106" t="s">
        <v>2462</v>
      </c>
      <c r="G35" s="3106"/>
    </row>
    <row r="36" spans="1:7" ht="19.5" customHeight="1">
      <c r="A36" s="3799"/>
      <c r="B36" s="3795"/>
      <c r="C36" s="3107" t="s">
        <v>2463</v>
      </c>
      <c r="D36" s="3108"/>
      <c r="E36" s="3109">
        <v>0.2</v>
      </c>
      <c r="F36" s="3106" t="s">
        <v>2464</v>
      </c>
      <c r="G36" s="3106"/>
    </row>
    <row r="37" spans="1:7" ht="19.5" customHeight="1">
      <c r="A37" s="3799"/>
      <c r="B37" s="3793" t="s">
        <v>2625</v>
      </c>
      <c r="C37" s="3107" t="s">
        <v>2465</v>
      </c>
      <c r="D37" s="3108"/>
      <c r="E37" s="3109">
        <v>0.6</v>
      </c>
      <c r="F37" s="3106" t="s">
        <v>2466</v>
      </c>
      <c r="G37" s="3106"/>
    </row>
    <row r="38" spans="1:7" ht="19.5" customHeight="1">
      <c r="A38" s="3799"/>
      <c r="B38" s="3795"/>
      <c r="C38" s="3107" t="s">
        <v>2467</v>
      </c>
      <c r="D38" s="3108"/>
      <c r="E38" s="3109">
        <v>0.6</v>
      </c>
      <c r="F38" s="3106" t="s">
        <v>2468</v>
      </c>
      <c r="G38" s="3106"/>
    </row>
    <row r="39" spans="1:7" ht="19.5" customHeight="1" thickBot="1">
      <c r="A39" s="3800"/>
      <c r="B39" s="3797"/>
      <c r="C39" s="3110" t="s">
        <v>2469</v>
      </c>
      <c r="D39" s="3111"/>
      <c r="E39" s="3112">
        <v>0.6</v>
      </c>
      <c r="F39" s="3106" t="s">
        <v>2470</v>
      </c>
      <c r="G39" s="3106"/>
    </row>
    <row r="40" spans="1:7" ht="19.5" customHeight="1" thickBot="1">
      <c r="A40" s="3113" t="s">
        <v>2602</v>
      </c>
      <c r="B40" s="3114" t="s">
        <v>2602</v>
      </c>
      <c r="C40" s="3115" t="s">
        <v>2626</v>
      </c>
      <c r="D40" s="3116"/>
      <c r="E40" s="3117">
        <v>1</v>
      </c>
      <c r="F40" s="3106" t="s">
        <v>2471</v>
      </c>
      <c r="G40" s="3106"/>
    </row>
    <row r="41" spans="1:7" ht="19.5" customHeight="1">
      <c r="A41" s="3801" t="s">
        <v>2603</v>
      </c>
      <c r="B41" s="3796" t="s">
        <v>2627</v>
      </c>
      <c r="C41" s="3103" t="s">
        <v>2472</v>
      </c>
      <c r="D41" s="3104"/>
      <c r="E41" s="3105">
        <v>1</v>
      </c>
      <c r="F41" s="3106" t="s">
        <v>2473</v>
      </c>
      <c r="G41" s="3106"/>
    </row>
    <row r="42" spans="1:7" ht="19.5" customHeight="1">
      <c r="A42" s="3802"/>
      <c r="B42" s="3795"/>
      <c r="C42" s="3107" t="s">
        <v>2474</v>
      </c>
      <c r="D42" s="3108"/>
      <c r="E42" s="3109">
        <v>1</v>
      </c>
      <c r="F42" s="3106" t="s">
        <v>2475</v>
      </c>
      <c r="G42" s="3106"/>
    </row>
    <row r="43" spans="1:7" ht="19.5" customHeight="1">
      <c r="A43" s="3802"/>
      <c r="B43" s="3794"/>
      <c r="C43" s="3107" t="s">
        <v>2476</v>
      </c>
      <c r="D43" s="3108"/>
      <c r="E43" s="3109">
        <v>1.5</v>
      </c>
      <c r="F43" s="3106" t="s">
        <v>2477</v>
      </c>
      <c r="G43" s="3106"/>
    </row>
    <row r="44" spans="1:7" ht="19.5" customHeight="1">
      <c r="A44" s="3802"/>
      <c r="B44" s="3118" t="s">
        <v>2628</v>
      </c>
      <c r="C44" s="3107" t="s">
        <v>2629</v>
      </c>
      <c r="D44" s="3108"/>
      <c r="E44" s="3109">
        <v>2</v>
      </c>
      <c r="F44" s="3106" t="s">
        <v>2478</v>
      </c>
      <c r="G44" s="3106"/>
    </row>
    <row r="45" spans="1:7" ht="19.5" customHeight="1">
      <c r="A45" s="3802"/>
      <c r="B45" s="3793" t="s">
        <v>2630</v>
      </c>
      <c r="C45" s="3107" t="s">
        <v>2479</v>
      </c>
      <c r="D45" s="3108"/>
      <c r="E45" s="3109">
        <v>1</v>
      </c>
      <c r="F45" s="3106" t="s">
        <v>2480</v>
      </c>
      <c r="G45" s="3106"/>
    </row>
    <row r="46" spans="1:7" ht="19.5" customHeight="1">
      <c r="A46" s="3802"/>
      <c r="B46" s="3795"/>
      <c r="C46" s="3107" t="s">
        <v>2481</v>
      </c>
      <c r="D46" s="3108"/>
      <c r="E46" s="3109">
        <v>1</v>
      </c>
      <c r="F46" s="3106" t="s">
        <v>2482</v>
      </c>
      <c r="G46" s="3106"/>
    </row>
    <row r="47" spans="1:7" ht="19.5" customHeight="1">
      <c r="A47" s="3802"/>
      <c r="B47" s="3795"/>
      <c r="C47" s="3107" t="s">
        <v>2483</v>
      </c>
      <c r="D47" s="3108"/>
      <c r="E47" s="3109">
        <v>1</v>
      </c>
      <c r="F47" s="3106" t="s">
        <v>2484</v>
      </c>
      <c r="G47" s="3106"/>
    </row>
    <row r="48" spans="1:7" ht="19.5" customHeight="1">
      <c r="A48" s="3802"/>
      <c r="B48" s="3795"/>
      <c r="C48" s="3107" t="s">
        <v>2485</v>
      </c>
      <c r="D48" s="3108"/>
      <c r="E48" s="3109">
        <v>1</v>
      </c>
      <c r="F48" s="3106" t="s">
        <v>2486</v>
      </c>
      <c r="G48" s="3106"/>
    </row>
    <row r="49" spans="1:7" ht="19.5" customHeight="1">
      <c r="A49" s="3802"/>
      <c r="B49" s="3795"/>
      <c r="C49" s="3107" t="s">
        <v>2487</v>
      </c>
      <c r="D49" s="3108"/>
      <c r="E49" s="3109">
        <v>1</v>
      </c>
      <c r="F49" s="3106" t="s">
        <v>2488</v>
      </c>
      <c r="G49" s="3106"/>
    </row>
    <row r="50" spans="1:7" ht="19.5" customHeight="1">
      <c r="A50" s="3802"/>
      <c r="B50" s="3795"/>
      <c r="C50" s="3107" t="s">
        <v>2489</v>
      </c>
      <c r="D50" s="3108"/>
      <c r="E50" s="3109">
        <v>1</v>
      </c>
      <c r="F50" s="3106" t="s">
        <v>2490</v>
      </c>
      <c r="G50" s="3106"/>
    </row>
    <row r="51" spans="1:7" ht="19.5" customHeight="1" thickBot="1">
      <c r="A51" s="3803"/>
      <c r="B51" s="3797"/>
      <c r="C51" s="3110" t="s">
        <v>2491</v>
      </c>
      <c r="D51" s="3111"/>
      <c r="E51" s="3112">
        <v>1</v>
      </c>
      <c r="F51" s="3106" t="s">
        <v>2492</v>
      </c>
      <c r="G51" s="3106"/>
    </row>
    <row r="52" spans="1:7" ht="19.5" customHeight="1">
      <c r="A52" s="3119"/>
      <c r="B52" s="3119"/>
      <c r="C52" s="3119"/>
      <c r="D52" s="3119"/>
      <c r="E52" s="3119"/>
      <c r="F52" s="3119"/>
      <c r="G52" s="3119"/>
    </row>
    <row r="54" spans="1:7" ht="19.5" customHeight="1">
      <c r="A54" s="3120"/>
      <c r="B54" s="3092" t="s">
        <v>2631</v>
      </c>
      <c r="C54" s="3092" t="s">
        <v>2631</v>
      </c>
      <c r="D54" s="3092" t="s">
        <v>2631</v>
      </c>
      <c r="E54" s="3095" t="s">
        <v>2631</v>
      </c>
      <c r="F54" s="3095" t="s">
        <v>2632</v>
      </c>
      <c r="G54" s="3095" t="s">
        <v>2633</v>
      </c>
    </row>
    <row r="55" spans="1:7" ht="19.5" customHeight="1">
      <c r="A55" s="3121"/>
      <c r="B55" s="3095" t="s">
        <v>2600</v>
      </c>
      <c r="C55" s="3095" t="s">
        <v>2600</v>
      </c>
      <c r="D55" s="3095" t="s">
        <v>2600</v>
      </c>
      <c r="E55" s="3092" t="s">
        <v>2601</v>
      </c>
      <c r="F55" s="3092" t="s">
        <v>2603</v>
      </c>
      <c r="G55" s="3092" t="s">
        <v>2634</v>
      </c>
    </row>
    <row r="56" spans="1:7" ht="19.5" customHeight="1">
      <c r="A56" s="3122"/>
      <c r="B56" s="3092">
        <v>1</v>
      </c>
      <c r="C56" s="3092">
        <v>2</v>
      </c>
      <c r="D56" s="3092">
        <v>3</v>
      </c>
      <c r="E56" s="3123" t="s">
        <v>2635</v>
      </c>
      <c r="F56" s="3123" t="s">
        <v>2635</v>
      </c>
      <c r="G56" s="3123" t="s">
        <v>2635</v>
      </c>
    </row>
    <row r="57" spans="1:7" ht="19.5" customHeight="1">
      <c r="A57" s="3124" t="s">
        <v>2588</v>
      </c>
      <c r="B57" s="3092">
        <v>0.7</v>
      </c>
      <c r="C57" s="3092">
        <v>0.4</v>
      </c>
      <c r="D57" s="3092">
        <v>0.3</v>
      </c>
      <c r="E57" s="3123">
        <v>0.3</v>
      </c>
      <c r="F57" s="3092">
        <v>0.3</v>
      </c>
      <c r="G57" s="3092">
        <v>0.2</v>
      </c>
    </row>
    <row r="58" spans="1:7" ht="19.5" customHeight="1">
      <c r="A58" s="3124" t="s">
        <v>2589</v>
      </c>
      <c r="B58" s="3092">
        <v>0.7</v>
      </c>
      <c r="C58" s="3092">
        <v>0.4</v>
      </c>
      <c r="D58" s="3092">
        <v>0.3</v>
      </c>
      <c r="E58" s="3092">
        <v>0.3</v>
      </c>
      <c r="F58" s="3092">
        <v>0.3</v>
      </c>
      <c r="G58" s="3092">
        <v>0.2</v>
      </c>
    </row>
    <row r="59" spans="1:7" ht="19.5" customHeight="1">
      <c r="A59" s="3124" t="s">
        <v>2590</v>
      </c>
      <c r="B59" s="3092">
        <v>0.6</v>
      </c>
      <c r="C59" s="3092">
        <v>0.3</v>
      </c>
      <c r="D59" s="3092">
        <v>0.25</v>
      </c>
      <c r="E59" s="3092">
        <v>0.25</v>
      </c>
      <c r="F59" s="3092">
        <v>0.25</v>
      </c>
      <c r="G59" s="3092">
        <v>0.15</v>
      </c>
    </row>
    <row r="60" spans="1:7" ht="19.5" customHeight="1">
      <c r="A60" s="3124" t="s">
        <v>2591</v>
      </c>
      <c r="B60" s="3092">
        <v>0.6</v>
      </c>
      <c r="C60" s="3092">
        <v>0.3</v>
      </c>
      <c r="D60" s="3092">
        <v>0.25</v>
      </c>
      <c r="E60" s="3092">
        <v>0.25</v>
      </c>
      <c r="F60" s="3092">
        <v>0.25</v>
      </c>
      <c r="G60" s="3092">
        <v>0.15</v>
      </c>
    </row>
    <row r="61" spans="1:7" ht="19.5" customHeight="1">
      <c r="A61" s="3124" t="s">
        <v>2592</v>
      </c>
      <c r="B61" s="3092">
        <v>0.6</v>
      </c>
      <c r="C61" s="3092">
        <v>0.3</v>
      </c>
      <c r="D61" s="3092">
        <v>0.25</v>
      </c>
      <c r="E61" s="3092">
        <v>0.25</v>
      </c>
      <c r="F61" s="3092">
        <v>0.25</v>
      </c>
      <c r="G61" s="3092">
        <v>0.15</v>
      </c>
    </row>
    <row r="62" spans="1:7" ht="19.5" customHeight="1">
      <c r="A62" s="3124" t="s">
        <v>2593</v>
      </c>
      <c r="B62" s="3092">
        <v>0.6</v>
      </c>
      <c r="C62" s="3092">
        <v>0.3</v>
      </c>
      <c r="D62" s="3092">
        <v>0.25</v>
      </c>
      <c r="E62" s="3092">
        <v>0.25</v>
      </c>
      <c r="F62" s="3092">
        <v>0.25</v>
      </c>
      <c r="G62" s="3092">
        <v>0.15</v>
      </c>
    </row>
    <row r="63" spans="1:7" ht="19.5" customHeight="1">
      <c r="A63" s="3124" t="s">
        <v>2594</v>
      </c>
      <c r="B63" s="3092">
        <v>0.6</v>
      </c>
      <c r="C63" s="3092">
        <v>0.3</v>
      </c>
      <c r="D63" s="3092">
        <v>0.25</v>
      </c>
      <c r="E63" s="3092">
        <v>0.25</v>
      </c>
      <c r="F63" s="3092">
        <v>0.25</v>
      </c>
      <c r="G63" s="3092">
        <v>0.15</v>
      </c>
    </row>
    <row r="64" spans="1:7" ht="19.5" customHeight="1">
      <c r="A64" s="3124" t="s">
        <v>2595</v>
      </c>
      <c r="B64" s="3092">
        <v>0.5</v>
      </c>
      <c r="C64" s="3092">
        <v>0.2</v>
      </c>
      <c r="D64" s="3092">
        <v>0.2</v>
      </c>
      <c r="E64" s="3092">
        <v>0.2</v>
      </c>
      <c r="F64" s="3092">
        <v>0.2</v>
      </c>
      <c r="G64" s="3092">
        <v>0.1</v>
      </c>
    </row>
    <row r="65" spans="1:7" ht="19.5" customHeight="1">
      <c r="A65" s="3124" t="s">
        <v>2596</v>
      </c>
      <c r="B65" s="3092">
        <v>0.5</v>
      </c>
      <c r="C65" s="3092">
        <v>0.2</v>
      </c>
      <c r="D65" s="3092">
        <v>0.2</v>
      </c>
      <c r="E65" s="3092">
        <v>0.2</v>
      </c>
      <c r="F65" s="3092">
        <v>0.2</v>
      </c>
      <c r="G65" s="3092">
        <v>0.1</v>
      </c>
    </row>
    <row r="66" spans="1:7" ht="19.5" customHeight="1">
      <c r="A66" s="3124" t="s">
        <v>2597</v>
      </c>
      <c r="B66" s="3092">
        <v>0.5</v>
      </c>
      <c r="C66" s="3092">
        <v>0.2</v>
      </c>
      <c r="D66" s="3092">
        <v>0.2</v>
      </c>
      <c r="E66" s="3092">
        <v>0.2</v>
      </c>
      <c r="F66" s="3092">
        <v>0.2</v>
      </c>
      <c r="G66" s="3092">
        <v>0.1</v>
      </c>
    </row>
    <row r="67" spans="1:7" ht="19.5" customHeight="1">
      <c r="A67" s="3124" t="s">
        <v>2598</v>
      </c>
      <c r="B67" s="3092">
        <v>0.5</v>
      </c>
      <c r="C67" s="3092">
        <v>0.2</v>
      </c>
      <c r="D67" s="3092">
        <v>0.2</v>
      </c>
      <c r="E67" s="3092">
        <v>0.2</v>
      </c>
      <c r="F67" s="3092">
        <v>0.2</v>
      </c>
      <c r="G67" s="3092">
        <v>0.1</v>
      </c>
    </row>
    <row r="68" spans="1:7" ht="19.5" customHeight="1">
      <c r="A68" s="3124" t="s">
        <v>2599</v>
      </c>
      <c r="B68" s="3092">
        <v>0.5</v>
      </c>
      <c r="C68" s="3092">
        <v>0.2</v>
      </c>
      <c r="D68" s="3092">
        <v>0.2</v>
      </c>
      <c r="E68" s="3092">
        <v>0.2</v>
      </c>
      <c r="F68" s="3092">
        <v>0.2</v>
      </c>
      <c r="G68" s="3092">
        <v>0.1</v>
      </c>
    </row>
    <row r="70" spans="1:7" ht="19.5" customHeight="1">
      <c r="A70" s="3125"/>
      <c r="B70" s="3126"/>
      <c r="C70" s="3126"/>
      <c r="D70" s="3126" t="s">
        <v>2636</v>
      </c>
      <c r="E70" s="3126"/>
      <c r="F70" s="3126"/>
    </row>
    <row r="71" spans="1:7" ht="19.5" customHeight="1">
      <c r="A71" s="3118" t="s">
        <v>2637</v>
      </c>
      <c r="B71" s="3118" t="s">
        <v>2638</v>
      </c>
      <c r="C71" s="3118" t="s">
        <v>2639</v>
      </c>
      <c r="D71" s="3118" t="s">
        <v>2640</v>
      </c>
      <c r="E71" s="3118" t="s">
        <v>2641</v>
      </c>
      <c r="F71" s="3118" t="s">
        <v>2642</v>
      </c>
    </row>
    <row r="72" spans="1:7" ht="13.5">
      <c r="A72" s="3118"/>
      <c r="B72" s="3118"/>
      <c r="C72" s="3118" t="s">
        <v>2643</v>
      </c>
      <c r="D72" s="3118"/>
      <c r="E72" s="3118" t="s">
        <v>2614</v>
      </c>
      <c r="F72" s="3118" t="s">
        <v>2614</v>
      </c>
    </row>
    <row r="73" spans="1:7" ht="13.5">
      <c r="A73" s="3118">
        <v>1</v>
      </c>
      <c r="B73" s="3793" t="s">
        <v>2644</v>
      </c>
      <c r="C73" s="3092" t="s">
        <v>2645</v>
      </c>
      <c r="D73" s="3092" t="s">
        <v>2646</v>
      </c>
      <c r="E73" s="3118">
        <v>0.2</v>
      </c>
      <c r="F73" s="3118">
        <v>25</v>
      </c>
    </row>
    <row r="74" spans="1:7" ht="24">
      <c r="A74" s="3118">
        <v>2</v>
      </c>
      <c r="B74" s="3795"/>
      <c r="C74" s="3092" t="s">
        <v>2647</v>
      </c>
      <c r="D74" s="3092" t="s">
        <v>2648</v>
      </c>
      <c r="E74" s="3118">
        <v>0.2</v>
      </c>
      <c r="F74" s="3118">
        <v>25</v>
      </c>
    </row>
    <row r="75" spans="1:7" ht="24">
      <c r="A75" s="3118">
        <v>3</v>
      </c>
      <c r="B75" s="3795"/>
      <c r="C75" s="3092" t="s">
        <v>2649</v>
      </c>
      <c r="D75" s="3092" t="s">
        <v>2650</v>
      </c>
      <c r="E75" s="3118">
        <v>0.2</v>
      </c>
      <c r="F75" s="3118">
        <v>25</v>
      </c>
    </row>
    <row r="76" spans="1:7" ht="13.5">
      <c r="A76" s="3118">
        <v>4</v>
      </c>
      <c r="B76" s="3795"/>
      <c r="C76" s="3092" t="s">
        <v>2651</v>
      </c>
      <c r="D76" s="3092" t="s">
        <v>2652</v>
      </c>
      <c r="E76" s="3118">
        <v>0.15</v>
      </c>
      <c r="F76" s="3118">
        <v>20</v>
      </c>
    </row>
    <row r="77" spans="1:7" ht="24">
      <c r="A77" s="3118">
        <v>5</v>
      </c>
      <c r="B77" s="3795"/>
      <c r="C77" s="3092" t="s">
        <v>2653</v>
      </c>
      <c r="D77" s="3092" t="s">
        <v>2654</v>
      </c>
      <c r="E77" s="3118">
        <v>0.15</v>
      </c>
      <c r="F77" s="3118">
        <v>20</v>
      </c>
    </row>
    <row r="78" spans="1:7" ht="24">
      <c r="A78" s="3118">
        <v>6</v>
      </c>
      <c r="B78" s="3795"/>
      <c r="C78" s="3092" t="s">
        <v>2655</v>
      </c>
      <c r="D78" s="3092" t="s">
        <v>2656</v>
      </c>
      <c r="E78" s="3118">
        <v>0.15</v>
      </c>
      <c r="F78" s="3118">
        <v>20</v>
      </c>
    </row>
    <row r="79" spans="1:7" ht="24">
      <c r="A79" s="3118">
        <v>7</v>
      </c>
      <c r="B79" s="3795"/>
      <c r="C79" s="3092" t="s">
        <v>2657</v>
      </c>
      <c r="D79" s="3092" t="s">
        <v>2658</v>
      </c>
      <c r="E79" s="3118">
        <v>0.15</v>
      </c>
      <c r="F79" s="3118">
        <v>20</v>
      </c>
    </row>
    <row r="80" spans="1:7" ht="24">
      <c r="A80" s="3118">
        <v>8</v>
      </c>
      <c r="B80" s="3795"/>
      <c r="C80" s="3092" t="s">
        <v>2659</v>
      </c>
      <c r="D80" s="3092" t="s">
        <v>2660</v>
      </c>
      <c r="E80" s="3118">
        <v>0.1</v>
      </c>
      <c r="F80" s="3118">
        <v>15</v>
      </c>
    </row>
    <row r="81" spans="1:6" ht="24">
      <c r="A81" s="3118">
        <v>9</v>
      </c>
      <c r="B81" s="3795"/>
      <c r="C81" s="3092" t="s">
        <v>2661</v>
      </c>
      <c r="D81" s="3092" t="s">
        <v>2662</v>
      </c>
      <c r="E81" s="3118">
        <v>0.1</v>
      </c>
      <c r="F81" s="3118">
        <v>15</v>
      </c>
    </row>
    <row r="82" spans="1:6" ht="24">
      <c r="A82" s="3118">
        <v>10</v>
      </c>
      <c r="B82" s="3795"/>
      <c r="C82" s="3092" t="s">
        <v>2663</v>
      </c>
      <c r="D82" s="3092" t="s">
        <v>2664</v>
      </c>
      <c r="E82" s="3118">
        <v>0.1</v>
      </c>
      <c r="F82" s="3118">
        <v>15</v>
      </c>
    </row>
    <row r="83" spans="1:6" ht="24">
      <c r="A83" s="3118">
        <v>11</v>
      </c>
      <c r="B83" s="3795"/>
      <c r="C83" s="3092" t="s">
        <v>2665</v>
      </c>
      <c r="D83" s="3092" t="s">
        <v>2666</v>
      </c>
      <c r="E83" s="3118">
        <v>0.1</v>
      </c>
      <c r="F83" s="3118">
        <v>15</v>
      </c>
    </row>
    <row r="84" spans="1:6" ht="24">
      <c r="A84" s="3118">
        <v>12</v>
      </c>
      <c r="B84" s="3795"/>
      <c r="C84" s="3092" t="s">
        <v>2667</v>
      </c>
      <c r="D84" s="3092" t="s">
        <v>2668</v>
      </c>
      <c r="E84" s="3118">
        <v>0.1</v>
      </c>
      <c r="F84" s="3118">
        <v>15</v>
      </c>
    </row>
    <row r="85" spans="1:6" ht="13.5">
      <c r="A85" s="3118">
        <v>13</v>
      </c>
      <c r="B85" s="3795"/>
      <c r="C85" s="3092" t="s">
        <v>2669</v>
      </c>
      <c r="D85" s="3092" t="s">
        <v>2670</v>
      </c>
      <c r="E85" s="3118">
        <v>0.1</v>
      </c>
      <c r="F85" s="3118">
        <v>15</v>
      </c>
    </row>
    <row r="86" spans="1:6" ht="13.5">
      <c r="A86" s="3118">
        <v>14</v>
      </c>
      <c r="B86" s="3795"/>
      <c r="C86" s="3092" t="s">
        <v>2671</v>
      </c>
      <c r="D86" s="3092" t="s">
        <v>2672</v>
      </c>
      <c r="E86" s="3118">
        <v>0.1</v>
      </c>
      <c r="F86" s="3118">
        <v>15</v>
      </c>
    </row>
    <row r="87" spans="1:6" ht="13.5">
      <c r="A87" s="3118">
        <v>15</v>
      </c>
      <c r="B87" s="3795"/>
      <c r="C87" s="3092" t="s">
        <v>2673</v>
      </c>
      <c r="D87" s="3092" t="s">
        <v>2674</v>
      </c>
      <c r="E87" s="3118">
        <v>0.1</v>
      </c>
      <c r="F87" s="3118">
        <v>15</v>
      </c>
    </row>
    <row r="88" spans="1:6" ht="24">
      <c r="A88" s="3118">
        <v>16</v>
      </c>
      <c r="B88" s="3795"/>
      <c r="C88" s="3092" t="s">
        <v>2675</v>
      </c>
      <c r="D88" s="3092" t="s">
        <v>2676</v>
      </c>
      <c r="E88" s="3118">
        <v>0.1</v>
      </c>
      <c r="F88" s="3118">
        <v>15</v>
      </c>
    </row>
    <row r="89" spans="1:6" ht="24">
      <c r="A89" s="3118">
        <v>17</v>
      </c>
      <c r="B89" s="3794"/>
      <c r="C89" s="3092" t="s">
        <v>2677</v>
      </c>
      <c r="D89" s="3092" t="s">
        <v>2678</v>
      </c>
      <c r="E89" s="3118">
        <v>0.1</v>
      </c>
      <c r="F89" s="3118">
        <v>15</v>
      </c>
    </row>
    <row r="90" spans="1:6" ht="13.5">
      <c r="A90" s="3118">
        <v>18</v>
      </c>
      <c r="B90" s="3793" t="s">
        <v>2679</v>
      </c>
      <c r="C90" s="3092" t="s">
        <v>2680</v>
      </c>
      <c r="D90" s="3092" t="s">
        <v>2681</v>
      </c>
      <c r="E90" s="3118">
        <v>0.2</v>
      </c>
      <c r="F90" s="3118">
        <v>25</v>
      </c>
    </row>
    <row r="91" spans="1:6" ht="24">
      <c r="A91" s="3118">
        <v>19</v>
      </c>
      <c r="B91" s="3795"/>
      <c r="C91" s="3092" t="s">
        <v>2682</v>
      </c>
      <c r="D91" s="3092" t="s">
        <v>2683</v>
      </c>
      <c r="E91" s="3118">
        <v>0.2</v>
      </c>
      <c r="F91" s="3118">
        <v>25</v>
      </c>
    </row>
    <row r="92" spans="1:6" ht="13.5">
      <c r="A92" s="3118">
        <v>20</v>
      </c>
      <c r="B92" s="3795"/>
      <c r="C92" s="3092" t="s">
        <v>2684</v>
      </c>
      <c r="D92" s="3092" t="s">
        <v>2685</v>
      </c>
      <c r="E92" s="3118">
        <v>0.15</v>
      </c>
      <c r="F92" s="3118">
        <v>20</v>
      </c>
    </row>
    <row r="93" spans="1:6" ht="13.5">
      <c r="A93" s="3118">
        <v>21</v>
      </c>
      <c r="B93" s="3795"/>
      <c r="C93" s="3092" t="s">
        <v>2686</v>
      </c>
      <c r="D93" s="3092" t="s">
        <v>2687</v>
      </c>
      <c r="E93" s="3118">
        <v>0.15</v>
      </c>
      <c r="F93" s="3118">
        <v>20</v>
      </c>
    </row>
    <row r="94" spans="1:6" ht="13.5">
      <c r="A94" s="3118">
        <v>22</v>
      </c>
      <c r="B94" s="3795"/>
      <c r="C94" s="3092" t="s">
        <v>2688</v>
      </c>
      <c r="D94" s="3092" t="s">
        <v>2689</v>
      </c>
      <c r="E94" s="3118">
        <v>0.15</v>
      </c>
      <c r="F94" s="3118">
        <v>20</v>
      </c>
    </row>
    <row r="95" spans="1:6" ht="36">
      <c r="A95" s="3118">
        <v>23</v>
      </c>
      <c r="B95" s="3795"/>
      <c r="C95" s="3092" t="s">
        <v>2690</v>
      </c>
      <c r="D95" s="3092" t="s">
        <v>2691</v>
      </c>
      <c r="E95" s="3118">
        <v>0.15</v>
      </c>
      <c r="F95" s="3118">
        <v>20</v>
      </c>
    </row>
    <row r="96" spans="1:6" ht="13.5">
      <c r="A96" s="3118">
        <v>24</v>
      </c>
      <c r="B96" s="3795"/>
      <c r="C96" s="3092" t="s">
        <v>2692</v>
      </c>
      <c r="D96" s="3092" t="s">
        <v>2693</v>
      </c>
      <c r="E96" s="3118">
        <v>0.1</v>
      </c>
      <c r="F96" s="3118">
        <v>15</v>
      </c>
    </row>
    <row r="97" spans="1:6" ht="13.5">
      <c r="A97" s="3118">
        <v>25</v>
      </c>
      <c r="B97" s="3795"/>
      <c r="C97" s="3092" t="s">
        <v>2694</v>
      </c>
      <c r="D97" s="3092" t="s">
        <v>2695</v>
      </c>
      <c r="E97" s="3118">
        <v>0.1</v>
      </c>
      <c r="F97" s="3118">
        <v>15</v>
      </c>
    </row>
    <row r="98" spans="1:6" ht="24">
      <c r="A98" s="3118">
        <v>26</v>
      </c>
      <c r="B98" s="3795"/>
      <c r="C98" s="3092" t="s">
        <v>2696</v>
      </c>
      <c r="D98" s="3092" t="s">
        <v>2697</v>
      </c>
      <c r="E98" s="3118">
        <v>0.1</v>
      </c>
      <c r="F98" s="3118">
        <v>15</v>
      </c>
    </row>
    <row r="99" spans="1:6" ht="24">
      <c r="A99" s="3118">
        <v>27</v>
      </c>
      <c r="B99" s="3795"/>
      <c r="C99" s="3092" t="s">
        <v>2698</v>
      </c>
      <c r="D99" s="3092" t="s">
        <v>2699</v>
      </c>
      <c r="E99" s="3118">
        <v>0.1</v>
      </c>
      <c r="F99" s="3118">
        <v>15</v>
      </c>
    </row>
    <row r="100" spans="1:6" ht="13.5">
      <c r="A100" s="3118">
        <v>28</v>
      </c>
      <c r="B100" s="3795"/>
      <c r="C100" s="3092" t="s">
        <v>2700</v>
      </c>
      <c r="D100" s="3092" t="s">
        <v>2701</v>
      </c>
      <c r="E100" s="3118">
        <v>0.1</v>
      </c>
      <c r="F100" s="3118">
        <v>15</v>
      </c>
    </row>
    <row r="101" spans="1:6" ht="13.5">
      <c r="A101" s="3118">
        <v>29</v>
      </c>
      <c r="B101" s="3795"/>
      <c r="C101" s="3092" t="s">
        <v>2702</v>
      </c>
      <c r="D101" s="3092" t="s">
        <v>2703</v>
      </c>
      <c r="E101" s="3118">
        <v>0.1</v>
      </c>
      <c r="F101" s="3118">
        <v>15</v>
      </c>
    </row>
    <row r="102" spans="1:6" ht="13.5">
      <c r="A102" s="3118">
        <v>30</v>
      </c>
      <c r="B102" s="3795"/>
      <c r="C102" s="3092" t="s">
        <v>2704</v>
      </c>
      <c r="D102" s="3092" t="s">
        <v>2705</v>
      </c>
      <c r="E102" s="3118">
        <v>0.1</v>
      </c>
      <c r="F102" s="3118">
        <v>15</v>
      </c>
    </row>
    <row r="103" spans="1:6" ht="24">
      <c r="A103" s="3118">
        <v>31</v>
      </c>
      <c r="B103" s="3795"/>
      <c r="C103" s="3092" t="s">
        <v>2706</v>
      </c>
      <c r="D103" s="3092" t="s">
        <v>2707</v>
      </c>
      <c r="E103" s="3118">
        <v>0.1</v>
      </c>
      <c r="F103" s="3118">
        <v>15</v>
      </c>
    </row>
    <row r="104" spans="1:6" ht="24">
      <c r="A104" s="3118">
        <v>32</v>
      </c>
      <c r="B104" s="3795"/>
      <c r="C104" s="3092" t="s">
        <v>2708</v>
      </c>
      <c r="D104" s="3092" t="s">
        <v>2709</v>
      </c>
      <c r="E104" s="3118">
        <v>0.1</v>
      </c>
      <c r="F104" s="3118">
        <v>15</v>
      </c>
    </row>
    <row r="105" spans="1:6" ht="24">
      <c r="A105" s="3118">
        <v>33</v>
      </c>
      <c r="B105" s="3795"/>
      <c r="C105" s="3092" t="s">
        <v>2710</v>
      </c>
      <c r="D105" s="3092" t="s">
        <v>2711</v>
      </c>
      <c r="E105" s="3118">
        <v>0.1</v>
      </c>
      <c r="F105" s="3118">
        <v>15</v>
      </c>
    </row>
    <row r="106" spans="1:6" ht="24">
      <c r="A106" s="3118">
        <v>34</v>
      </c>
      <c r="B106" s="3794"/>
      <c r="C106" s="3092" t="s">
        <v>2712</v>
      </c>
      <c r="D106" s="3092" t="s">
        <v>2713</v>
      </c>
      <c r="E106" s="3118">
        <v>0.1</v>
      </c>
      <c r="F106" s="3118">
        <v>15</v>
      </c>
    </row>
    <row r="107" spans="1:6" ht="24">
      <c r="A107" s="3118">
        <v>35</v>
      </c>
      <c r="B107" s="3793" t="s">
        <v>2714</v>
      </c>
      <c r="C107" s="3118" t="s">
        <v>2715</v>
      </c>
      <c r="D107" s="3092" t="s">
        <v>2716</v>
      </c>
      <c r="E107" s="3118">
        <v>0.15</v>
      </c>
      <c r="F107" s="3118">
        <v>20</v>
      </c>
    </row>
    <row r="108" spans="1:6" ht="13.5">
      <c r="A108" s="3118">
        <v>36</v>
      </c>
      <c r="B108" s="3795"/>
      <c r="C108" s="3118" t="s">
        <v>2717</v>
      </c>
      <c r="D108" s="3092" t="s">
        <v>2718</v>
      </c>
      <c r="E108" s="3118">
        <v>0.15</v>
      </c>
      <c r="F108" s="3118">
        <v>20</v>
      </c>
    </row>
    <row r="109" spans="1:6" ht="13.5">
      <c r="A109" s="3118">
        <v>37</v>
      </c>
      <c r="B109" s="3795"/>
      <c r="C109" s="3118" t="s">
        <v>2719</v>
      </c>
      <c r="D109" s="3092" t="s">
        <v>2720</v>
      </c>
      <c r="E109" s="3118">
        <v>0.15</v>
      </c>
      <c r="F109" s="3118">
        <v>20</v>
      </c>
    </row>
    <row r="110" spans="1:6" ht="13.5">
      <c r="A110" s="3118">
        <v>38</v>
      </c>
      <c r="B110" s="3795"/>
      <c r="C110" s="3118" t="s">
        <v>2721</v>
      </c>
      <c r="D110" s="3092" t="s">
        <v>2722</v>
      </c>
      <c r="E110" s="3118">
        <v>0.1</v>
      </c>
      <c r="F110" s="3118">
        <v>15</v>
      </c>
    </row>
    <row r="111" spans="1:6" ht="24">
      <c r="A111" s="3118">
        <v>39</v>
      </c>
      <c r="B111" s="3795"/>
      <c r="C111" s="3118" t="s">
        <v>2723</v>
      </c>
      <c r="D111" s="3092" t="s">
        <v>2724</v>
      </c>
      <c r="E111" s="3118">
        <v>0.1</v>
      </c>
      <c r="F111" s="3118">
        <v>15</v>
      </c>
    </row>
    <row r="112" spans="1:6" ht="24">
      <c r="A112" s="3118">
        <v>40</v>
      </c>
      <c r="B112" s="3794"/>
      <c r="C112" s="3118" t="s">
        <v>2725</v>
      </c>
      <c r="D112" s="3092" t="s">
        <v>2726</v>
      </c>
      <c r="E112" s="3118">
        <v>0.1</v>
      </c>
      <c r="F112" s="3118">
        <v>15</v>
      </c>
    </row>
    <row r="113" spans="1:6" ht="13.5">
      <c r="A113" s="3118">
        <v>41</v>
      </c>
      <c r="B113" s="3792" t="s">
        <v>2727</v>
      </c>
      <c r="C113" s="3118" t="s">
        <v>2728</v>
      </c>
      <c r="D113" s="3092" t="s">
        <v>2729</v>
      </c>
      <c r="E113" s="3118">
        <v>0.1</v>
      </c>
      <c r="F113" s="3118">
        <v>15</v>
      </c>
    </row>
    <row r="114" spans="1:6" ht="13.5">
      <c r="A114" s="3118">
        <v>42</v>
      </c>
      <c r="B114" s="3792"/>
      <c r="C114" s="3118" t="s">
        <v>2730</v>
      </c>
      <c r="D114" s="3092" t="s">
        <v>2731</v>
      </c>
      <c r="E114" s="3118">
        <v>0.1</v>
      </c>
      <c r="F114" s="3118">
        <v>15</v>
      </c>
    </row>
    <row r="115" spans="1:6" ht="24">
      <c r="A115" s="3118">
        <v>43</v>
      </c>
      <c r="B115" s="3792"/>
      <c r="C115" s="3118" t="s">
        <v>2732</v>
      </c>
      <c r="D115" s="3092" t="s">
        <v>2733</v>
      </c>
      <c r="E115" s="3118">
        <v>0.1</v>
      </c>
      <c r="F115" s="3118">
        <v>15</v>
      </c>
    </row>
    <row r="116" spans="1:6" ht="13.5">
      <c r="A116" s="3118">
        <v>44</v>
      </c>
      <c r="B116" s="3793" t="s">
        <v>2734</v>
      </c>
      <c r="C116" s="3118" t="s">
        <v>2735</v>
      </c>
      <c r="D116" s="3092" t="s">
        <v>2736</v>
      </c>
      <c r="E116" s="3118">
        <v>0.1</v>
      </c>
      <c r="F116" s="3118">
        <v>15</v>
      </c>
    </row>
    <row r="117" spans="1:6" ht="24">
      <c r="A117" s="3118">
        <v>45</v>
      </c>
      <c r="B117" s="3794"/>
      <c r="C117" s="3092" t="s">
        <v>2737</v>
      </c>
      <c r="D117" s="3092" t="s">
        <v>2738</v>
      </c>
      <c r="E117" s="3118">
        <v>0.1</v>
      </c>
      <c r="F117" s="3118">
        <v>15</v>
      </c>
    </row>
    <row r="118" spans="1:6" ht="24">
      <c r="A118" s="3118">
        <v>46</v>
      </c>
      <c r="B118" s="3793" t="s">
        <v>2739</v>
      </c>
      <c r="C118" s="3118" t="s">
        <v>2740</v>
      </c>
      <c r="D118" s="3092" t="s">
        <v>2741</v>
      </c>
      <c r="E118" s="3118">
        <v>0.1</v>
      </c>
      <c r="F118" s="3118">
        <v>15</v>
      </c>
    </row>
    <row r="119" spans="1:6" ht="24">
      <c r="A119" s="3118">
        <v>47</v>
      </c>
      <c r="B119" s="3794"/>
      <c r="C119" s="3118" t="s">
        <v>2742</v>
      </c>
      <c r="D119" s="3092" t="s">
        <v>2743</v>
      </c>
      <c r="E119" s="3118">
        <v>0.1</v>
      </c>
      <c r="F119" s="3118">
        <v>15</v>
      </c>
    </row>
    <row r="120" spans="1:6" ht="13.5">
      <c r="A120" s="3118">
        <v>48</v>
      </c>
      <c r="B120" s="3793" t="s">
        <v>2744</v>
      </c>
      <c r="C120" s="3118" t="s">
        <v>2745</v>
      </c>
      <c r="D120" s="3092" t="s">
        <v>2746</v>
      </c>
      <c r="E120" s="3118">
        <v>0.1</v>
      </c>
      <c r="F120" s="3118">
        <v>15</v>
      </c>
    </row>
    <row r="121" spans="1:6" ht="13.5">
      <c r="A121" s="3118">
        <v>49</v>
      </c>
      <c r="B121" s="3794"/>
      <c r="C121" s="3118" t="s">
        <v>2747</v>
      </c>
      <c r="D121" s="3092" t="s">
        <v>2748</v>
      </c>
      <c r="E121" s="3118">
        <v>0.1</v>
      </c>
      <c r="F121" s="3118">
        <v>15</v>
      </c>
    </row>
    <row r="122" spans="1:6" ht="24">
      <c r="A122" s="3118">
        <v>50</v>
      </c>
      <c r="B122" s="3792" t="s">
        <v>2749</v>
      </c>
      <c r="C122" s="3118" t="s">
        <v>2750</v>
      </c>
      <c r="D122" s="3092" t="s">
        <v>2751</v>
      </c>
      <c r="E122" s="3118">
        <v>0.1</v>
      </c>
      <c r="F122" s="3118">
        <v>15</v>
      </c>
    </row>
    <row r="123" spans="1:6" ht="24">
      <c r="A123" s="3118">
        <v>51</v>
      </c>
      <c r="B123" s="3792"/>
      <c r="C123" s="3118" t="s">
        <v>2752</v>
      </c>
      <c r="D123" s="3092" t="s">
        <v>2753</v>
      </c>
      <c r="E123" s="3118">
        <v>0.1</v>
      </c>
      <c r="F123" s="3118">
        <v>15</v>
      </c>
    </row>
    <row r="124" spans="1:6" ht="24">
      <c r="A124" s="3118">
        <v>52</v>
      </c>
      <c r="B124" s="3792" t="s">
        <v>2754</v>
      </c>
      <c r="C124" s="3118" t="s">
        <v>2755</v>
      </c>
      <c r="D124" s="3092" t="s">
        <v>2756</v>
      </c>
      <c r="E124" s="3118">
        <v>0.1</v>
      </c>
      <c r="F124" s="3118">
        <v>15</v>
      </c>
    </row>
    <row r="125" spans="1:6" ht="24">
      <c r="A125" s="3118">
        <v>53</v>
      </c>
      <c r="B125" s="3792"/>
      <c r="C125" s="3118" t="s">
        <v>2757</v>
      </c>
      <c r="D125" s="3092" t="s">
        <v>2758</v>
      </c>
      <c r="E125" s="3118">
        <v>0.1</v>
      </c>
      <c r="F125" s="3118">
        <v>15</v>
      </c>
    </row>
    <row r="126" spans="1:6" ht="13.5">
      <c r="A126" s="3118">
        <v>54</v>
      </c>
      <c r="B126" s="3118" t="s">
        <v>2759</v>
      </c>
      <c r="C126" s="3118" t="s">
        <v>2760</v>
      </c>
      <c r="D126" s="3092" t="s">
        <v>2761</v>
      </c>
      <c r="E126" s="3118">
        <v>0.1</v>
      </c>
      <c r="F126" s="3118">
        <v>15</v>
      </c>
    </row>
    <row r="127" spans="1:6" ht="13.5">
      <c r="A127" s="3118">
        <v>55</v>
      </c>
      <c r="B127" s="3792" t="s">
        <v>2762</v>
      </c>
      <c r="C127" s="3118" t="s">
        <v>2763</v>
      </c>
      <c r="D127" s="3092" t="s">
        <v>2764</v>
      </c>
      <c r="E127" s="3118">
        <v>0.1</v>
      </c>
      <c r="F127" s="3118">
        <v>15</v>
      </c>
    </row>
    <row r="128" spans="1:6" ht="13.5">
      <c r="A128" s="3118">
        <v>56</v>
      </c>
      <c r="B128" s="3792"/>
      <c r="C128" s="3118" t="s">
        <v>2765</v>
      </c>
      <c r="D128" s="3092" t="s">
        <v>2766</v>
      </c>
      <c r="E128" s="3118">
        <v>0.1</v>
      </c>
      <c r="F128" s="3118">
        <v>15</v>
      </c>
    </row>
    <row r="129" spans="1:6" ht="24">
      <c r="A129" s="3118">
        <v>57</v>
      </c>
      <c r="B129" s="3792"/>
      <c r="C129" s="3118" t="s">
        <v>2767</v>
      </c>
      <c r="D129" s="3092" t="s">
        <v>2768</v>
      </c>
      <c r="E129" s="3118">
        <v>0.1</v>
      </c>
      <c r="F129" s="3118">
        <v>15</v>
      </c>
    </row>
    <row r="130" spans="1:6" ht="24">
      <c r="A130" s="3118">
        <v>58</v>
      </c>
      <c r="B130" s="3792" t="s">
        <v>2769</v>
      </c>
      <c r="C130" s="3118" t="s">
        <v>2770</v>
      </c>
      <c r="D130" s="3092" t="s">
        <v>2771</v>
      </c>
      <c r="E130" s="3118">
        <v>0.1</v>
      </c>
      <c r="F130" s="3118">
        <v>15</v>
      </c>
    </row>
    <row r="131" spans="1:6" ht="13.5">
      <c r="A131" s="3118">
        <v>59</v>
      </c>
      <c r="B131" s="3792"/>
      <c r="C131" s="3118" t="s">
        <v>2772</v>
      </c>
      <c r="D131" s="3092" t="s">
        <v>2773</v>
      </c>
      <c r="E131" s="3118">
        <v>0.1</v>
      </c>
      <c r="F131" s="3118">
        <v>15</v>
      </c>
    </row>
    <row r="132" spans="1:6" ht="13.5">
      <c r="A132" s="3118">
        <v>60</v>
      </c>
      <c r="B132" s="3793" t="s">
        <v>2774</v>
      </c>
      <c r="C132" s="3118" t="s">
        <v>2775</v>
      </c>
      <c r="D132" s="3092" t="s">
        <v>2776</v>
      </c>
      <c r="E132" s="3118">
        <v>0.1</v>
      </c>
      <c r="F132" s="3118">
        <v>15</v>
      </c>
    </row>
    <row r="133" spans="1:6" ht="13.5">
      <c r="A133" s="3118">
        <v>61</v>
      </c>
      <c r="B133" s="3794"/>
      <c r="C133" s="3118" t="s">
        <v>2777</v>
      </c>
      <c r="D133" s="3092" t="s">
        <v>2778</v>
      </c>
      <c r="E133" s="3118">
        <v>0.1</v>
      </c>
      <c r="F133" s="3118">
        <v>15</v>
      </c>
    </row>
    <row r="134" spans="1:6" ht="24">
      <c r="A134" s="3118">
        <v>62</v>
      </c>
      <c r="B134" s="3118" t="s">
        <v>2779</v>
      </c>
      <c r="C134" s="3118" t="s">
        <v>2780</v>
      </c>
      <c r="D134" s="3092" t="s">
        <v>2781</v>
      </c>
      <c r="E134" s="3118">
        <v>0.1</v>
      </c>
      <c r="F134" s="3118">
        <v>15</v>
      </c>
    </row>
    <row r="135" spans="1:6" ht="13.5">
      <c r="A135" s="3118">
        <v>63</v>
      </c>
      <c r="B135" s="3792" t="s">
        <v>2782</v>
      </c>
      <c r="C135" s="3118" t="s">
        <v>2783</v>
      </c>
      <c r="D135" s="3092" t="s">
        <v>2784</v>
      </c>
      <c r="E135" s="3118">
        <v>0.1</v>
      </c>
      <c r="F135" s="3118">
        <v>15</v>
      </c>
    </row>
    <row r="136" spans="1:6" ht="13.5">
      <c r="A136" s="3118">
        <v>64</v>
      </c>
      <c r="B136" s="3792"/>
      <c r="C136" s="3118" t="s">
        <v>2785</v>
      </c>
      <c r="D136" s="3092" t="s">
        <v>2786</v>
      </c>
      <c r="E136" s="3118">
        <v>0.1</v>
      </c>
      <c r="F136" s="3118">
        <v>15</v>
      </c>
    </row>
    <row r="137" spans="1:6" ht="13.5">
      <c r="A137" s="3118">
        <v>65</v>
      </c>
      <c r="B137" s="3118" t="s">
        <v>2787</v>
      </c>
      <c r="C137" s="3118" t="s">
        <v>2788</v>
      </c>
      <c r="D137" s="3092" t="s">
        <v>2789</v>
      </c>
      <c r="E137" s="3118">
        <v>0.1</v>
      </c>
      <c r="F137" s="3118">
        <v>15</v>
      </c>
    </row>
    <row r="138" spans="1:6" ht="13.5">
      <c r="A138" s="3118"/>
      <c r="B138" s="3118"/>
      <c r="C138" s="3118"/>
      <c r="D138" s="3118"/>
      <c r="E138" s="3118" t="s">
        <v>2790</v>
      </c>
      <c r="F138" s="3118"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2791</v>
      </c>
      <c r="B1" s="3127"/>
      <c r="C1" s="3127"/>
      <c r="D1" s="3127"/>
      <c r="E1" s="3127"/>
      <c r="F1" s="3127"/>
      <c r="G1" s="3127"/>
      <c r="H1" s="3127"/>
      <c r="I1" s="3127"/>
      <c r="J1" s="3127"/>
      <c r="K1" s="3127"/>
      <c r="L1" s="3127"/>
      <c r="M1" s="3127"/>
      <c r="N1" s="749"/>
    </row>
    <row r="2" spans="1:20">
      <c r="A2" s="3128" t="s">
        <v>2792</v>
      </c>
      <c r="B2" s="3129" t="s">
        <v>2588</v>
      </c>
      <c r="C2" s="3129" t="s">
        <v>2589</v>
      </c>
      <c r="D2" s="3129" t="s">
        <v>2590</v>
      </c>
      <c r="E2" s="3129" t="s">
        <v>2591</v>
      </c>
      <c r="F2" s="3129" t="s">
        <v>2592</v>
      </c>
      <c r="G2" s="3129" t="s">
        <v>2593</v>
      </c>
      <c r="H2" s="3130" t="s">
        <v>2594</v>
      </c>
      <c r="I2" s="3130" t="s">
        <v>2595</v>
      </c>
      <c r="J2" s="3131" t="s">
        <v>2596</v>
      </c>
      <c r="K2" s="3131" t="s">
        <v>2597</v>
      </c>
      <c r="L2" s="3131" t="s">
        <v>2598</v>
      </c>
      <c r="M2" s="3132" t="s">
        <v>2599</v>
      </c>
      <c r="Q2" s="3142" t="s">
        <v>2797</v>
      </c>
      <c r="R2" s="3142" t="s">
        <v>2798</v>
      </c>
      <c r="S2" s="3142" t="s">
        <v>2799</v>
      </c>
      <c r="T2" s="3142" t="s">
        <v>2800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2793</v>
      </c>
      <c r="B93" s="3127"/>
      <c r="C93" s="3127"/>
      <c r="D93" s="3127"/>
      <c r="E93" s="3127"/>
      <c r="F93" s="3127"/>
      <c r="G93" s="3127"/>
      <c r="H93" s="3127"/>
      <c r="I93" s="3127"/>
      <c r="J93" s="3127"/>
      <c r="K93" s="3127"/>
      <c r="L93" s="3127"/>
      <c r="M93" s="3127"/>
    </row>
    <row r="94" spans="1:20">
      <c r="A94" s="3128" t="s">
        <v>2792</v>
      </c>
      <c r="B94" s="3129" t="s">
        <v>2588</v>
      </c>
      <c r="C94" s="3129" t="s">
        <v>2589</v>
      </c>
      <c r="D94" s="3129" t="s">
        <v>2590</v>
      </c>
      <c r="E94" s="3129" t="s">
        <v>2591</v>
      </c>
      <c r="F94" s="3129" t="s">
        <v>2592</v>
      </c>
      <c r="G94" s="3129" t="s">
        <v>2593</v>
      </c>
      <c r="H94" s="3130" t="s">
        <v>2594</v>
      </c>
      <c r="I94" s="3130" t="s">
        <v>2595</v>
      </c>
      <c r="J94" s="3131" t="s">
        <v>2596</v>
      </c>
      <c r="K94" s="3131" t="s">
        <v>2597</v>
      </c>
      <c r="L94" s="3131" t="s">
        <v>2598</v>
      </c>
      <c r="M94" s="3132" t="s">
        <v>2599</v>
      </c>
      <c r="N94" s="750">
        <f>SUMPRODUCT((A95:A184=ROUNDDOWN(基准地价修正!G3,1))*(B94:M94=基准地价修正!G2)*(B95:M184))</f>
        <v>0.96630000000000005</v>
      </c>
      <c r="Q94" s="3142" t="s">
        <v>2797</v>
      </c>
      <c r="R94" s="3142" t="s">
        <v>2798</v>
      </c>
      <c r="S94" s="3142" t="s">
        <v>2799</v>
      </c>
      <c r="T94" s="3142" t="s">
        <v>2800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2794</v>
      </c>
      <c r="B185" s="3127"/>
      <c r="C185" s="3127"/>
      <c r="D185" s="3127"/>
      <c r="E185" s="3127"/>
      <c r="F185" s="3127"/>
      <c r="G185" s="3127"/>
      <c r="H185" s="3127"/>
      <c r="I185" s="3127"/>
      <c r="J185" s="3127"/>
      <c r="K185" s="3127"/>
      <c r="L185" s="3127"/>
      <c r="M185" s="3127"/>
    </row>
    <row r="186" spans="1:20">
      <c r="A186" s="3128" t="s">
        <v>2792</v>
      </c>
      <c r="B186" s="3129" t="s">
        <v>2588</v>
      </c>
      <c r="C186" s="3129" t="s">
        <v>2589</v>
      </c>
      <c r="D186" s="3129" t="s">
        <v>2590</v>
      </c>
      <c r="E186" s="3129" t="s">
        <v>2591</v>
      </c>
      <c r="F186" s="3129" t="s">
        <v>2592</v>
      </c>
      <c r="G186" s="3129" t="s">
        <v>2593</v>
      </c>
      <c r="H186" s="3130" t="s">
        <v>2594</v>
      </c>
      <c r="I186" s="3130" t="s">
        <v>2595</v>
      </c>
      <c r="J186" s="3131" t="s">
        <v>2596</v>
      </c>
      <c r="K186" s="3131" t="s">
        <v>2597</v>
      </c>
      <c r="L186" s="3131" t="s">
        <v>2598</v>
      </c>
      <c r="M186" s="3132" t="s">
        <v>2599</v>
      </c>
      <c r="Q186" s="3142" t="s">
        <v>2797</v>
      </c>
      <c r="R186" s="3142" t="s">
        <v>2798</v>
      </c>
      <c r="S186" s="3142" t="s">
        <v>2799</v>
      </c>
      <c r="T186" s="3142" t="s">
        <v>2800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2795</v>
      </c>
      <c r="B277" s="3127"/>
      <c r="C277" s="3127"/>
      <c r="D277" s="3127"/>
      <c r="E277" s="3127"/>
      <c r="F277" s="3127"/>
      <c r="G277" s="3127"/>
      <c r="H277" s="3127"/>
      <c r="I277" s="3127"/>
      <c r="J277" s="3127"/>
      <c r="K277" s="3127"/>
      <c r="L277" s="3127"/>
      <c r="M277" s="3127"/>
    </row>
    <row r="278" spans="1:21">
      <c r="A278" s="3128" t="s">
        <v>2792</v>
      </c>
      <c r="B278" s="3129" t="s">
        <v>2588</v>
      </c>
      <c r="C278" s="3129" t="s">
        <v>2589</v>
      </c>
      <c r="D278" s="3129" t="s">
        <v>2590</v>
      </c>
      <c r="E278" s="3129" t="s">
        <v>2591</v>
      </c>
      <c r="F278" s="3129" t="s">
        <v>2592</v>
      </c>
      <c r="G278" s="3129" t="s">
        <v>2593</v>
      </c>
      <c r="H278" s="3130" t="s">
        <v>2594</v>
      </c>
      <c r="I278" s="3130" t="s">
        <v>2595</v>
      </c>
      <c r="J278" s="3131" t="s">
        <v>2596</v>
      </c>
      <c r="K278" s="3131" t="s">
        <v>2597</v>
      </c>
      <c r="L278" s="3131" t="s">
        <v>2598</v>
      </c>
      <c r="M278" s="3132" t="s">
        <v>2599</v>
      </c>
      <c r="Q278" s="3142" t="s">
        <v>2797</v>
      </c>
      <c r="R278" s="3142" t="s">
        <v>2798</v>
      </c>
      <c r="S278" s="3142" t="s">
        <v>2801</v>
      </c>
      <c r="T278" s="3142" t="s">
        <v>2802</v>
      </c>
      <c r="U278" s="3142" t="s">
        <v>2800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2796</v>
      </c>
      <c r="B369" s="3140"/>
      <c r="C369" s="3140"/>
      <c r="D369" s="3140"/>
      <c r="E369" s="3140"/>
      <c r="F369" s="3140"/>
      <c r="G369" s="3140"/>
      <c r="H369" s="3140"/>
      <c r="I369" s="3140"/>
      <c r="J369" s="3140"/>
      <c r="K369" s="3140"/>
      <c r="L369" s="3140"/>
      <c r="M369" s="3140"/>
    </row>
    <row r="370" spans="1:20">
      <c r="A370" s="3128" t="s">
        <v>2792</v>
      </c>
      <c r="B370" s="3129" t="s">
        <v>2588</v>
      </c>
      <c r="C370" s="3129" t="s">
        <v>2589</v>
      </c>
      <c r="D370" s="3129" t="s">
        <v>2590</v>
      </c>
      <c r="E370" s="3129" t="s">
        <v>2591</v>
      </c>
      <c r="F370" s="3129" t="s">
        <v>2592</v>
      </c>
      <c r="G370" s="3129" t="s">
        <v>2593</v>
      </c>
      <c r="H370" s="3130" t="s">
        <v>2594</v>
      </c>
      <c r="I370" s="3130" t="s">
        <v>2595</v>
      </c>
      <c r="J370" s="3131" t="s">
        <v>2596</v>
      </c>
      <c r="K370" s="3131" t="s">
        <v>2597</v>
      </c>
      <c r="L370" s="3131" t="s">
        <v>2598</v>
      </c>
      <c r="M370" s="3132" t="s">
        <v>2599</v>
      </c>
      <c r="N370" s="750">
        <f>SUMPRODUCT((A371:A460=ROUNDDOWN(基准地价修正!G3,1))*(B370:M370=基准地价修正!G2)*(B371:M460))</f>
        <v>0.91520000000000001</v>
      </c>
      <c r="Q370" s="3142" t="s">
        <v>2797</v>
      </c>
      <c r="R370" s="3142" t="s">
        <v>2798</v>
      </c>
      <c r="S370" s="3142" t="s">
        <v>2799</v>
      </c>
      <c r="T370" s="3142" t="s">
        <v>2800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906</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8">
      <c r="A3" s="3491" t="str">
        <f>IF(项目基本情况!B9="房地产市场价值","估价结果一览表（市场价值不需“结果表-1”）","估价结果一览表")</f>
        <v>估价结果一览表</v>
      </c>
      <c r="B3" s="3491"/>
      <c r="C3" s="3491"/>
      <c r="D3" s="3491"/>
      <c r="E3" s="3491"/>
    </row>
    <row r="4" spans="1:5" ht="19.5" thickBot="1">
      <c r="A4" s="1493"/>
      <c r="B4" s="3489" t="s">
        <v>915</v>
      </c>
      <c r="C4" s="3489"/>
      <c r="D4" s="3489"/>
      <c r="E4" s="1493"/>
    </row>
    <row r="5" spans="1:5" ht="16.5" thickTop="1">
      <c r="A5" s="1491"/>
      <c r="B5" s="3487" t="s">
        <v>907</v>
      </c>
      <c r="C5" s="1494" t="s">
        <v>908</v>
      </c>
      <c r="D5" s="850" t="e">
        <f ca="1">'结果表-商业'!H101</f>
        <v>#REF!</v>
      </c>
      <c r="E5" s="1491"/>
    </row>
    <row r="6" spans="1:5" ht="15.75">
      <c r="A6" s="1491"/>
      <c r="B6" s="3487"/>
      <c r="C6" s="1494" t="s">
        <v>909</v>
      </c>
      <c r="D6" s="850" t="e">
        <f ca="1">NUMBERSTRING(INT(D5*10000),2)&amp;"元整"</f>
        <v>#REF!</v>
      </c>
      <c r="E6" s="1491"/>
    </row>
    <row r="7" spans="1:5" ht="15.75">
      <c r="A7" s="1491"/>
      <c r="B7" s="3492"/>
      <c r="C7" s="1495" t="s">
        <v>910</v>
      </c>
      <c r="D7" s="851" t="e">
        <f ca="1">'结果表-商业'!H102</f>
        <v>#REF!</v>
      </c>
      <c r="E7" s="1491"/>
    </row>
    <row r="8" spans="1:5" ht="15.75">
      <c r="A8" s="1491"/>
      <c r="B8" s="3493" t="str">
        <f>'结果表-商业'!E103</f>
        <v>2.估价师知悉的法定优先受偿款</v>
      </c>
      <c r="C8" s="1496" t="s">
        <v>911</v>
      </c>
      <c r="D8" s="851">
        <f>'结果表-商业'!H103</f>
        <v>0</v>
      </c>
      <c r="E8" s="1491"/>
    </row>
    <row r="9" spans="1:5" ht="15.75">
      <c r="A9" s="1491"/>
      <c r="B9" s="3495"/>
      <c r="C9" s="1494" t="s">
        <v>909</v>
      </c>
      <c r="D9" s="850" t="str">
        <f>NUMBERSTRING(INT(D8*10000),2)&amp;"元整"</f>
        <v>零元整</v>
      </c>
      <c r="E9" s="1491"/>
    </row>
    <row r="10" spans="1:5" ht="15">
      <c r="A10" s="1491"/>
      <c r="B10" s="1497" t="s">
        <v>914</v>
      </c>
      <c r="C10" s="1498" t="s">
        <v>912</v>
      </c>
      <c r="D10" s="852">
        <f>'结果表-商业'!H104</f>
        <v>0</v>
      </c>
      <c r="E10" s="1491"/>
    </row>
    <row r="11" spans="1:5" ht="15">
      <c r="A11" s="1491"/>
      <c r="B11" s="1497" t="s">
        <v>916</v>
      </c>
      <c r="C11" s="1498" t="s">
        <v>917</v>
      </c>
      <c r="D11" s="852">
        <f>'结果表-商业'!H105</f>
        <v>0</v>
      </c>
      <c r="E11" s="1491"/>
    </row>
    <row r="12" spans="1:5" ht="15">
      <c r="A12" s="1491"/>
      <c r="B12" s="1497" t="s">
        <v>918</v>
      </c>
      <c r="C12" s="1498" t="s">
        <v>917</v>
      </c>
      <c r="D12" s="852">
        <f>'结果表-商业'!H106</f>
        <v>0</v>
      </c>
      <c r="E12" s="1491"/>
    </row>
    <row r="13" spans="1:5" ht="15.75">
      <c r="A13" s="1491"/>
      <c r="B13" s="3486" t="str">
        <f>'结果表-商业'!E107</f>
        <v>3.房地产抵押价值</v>
      </c>
      <c r="C13" s="1499" t="s">
        <v>908</v>
      </c>
      <c r="D13" s="853" t="e">
        <f ca="1">'结果表-商业'!H107</f>
        <v>#REF!</v>
      </c>
      <c r="E13" s="1491"/>
    </row>
    <row r="14" spans="1:5" ht="15.75">
      <c r="A14" s="1491"/>
      <c r="B14" s="3487"/>
      <c r="C14" s="1494" t="s">
        <v>909</v>
      </c>
      <c r="D14" s="850" t="e">
        <f ca="1">NUMBERSTRING(INT(D13*10000),2)&amp;"元整"</f>
        <v>#REF!</v>
      </c>
      <c r="E14" s="1491"/>
    </row>
    <row r="15" spans="1:5" ht="15">
      <c r="A15" s="1491"/>
      <c r="B15" s="3492"/>
      <c r="C15" s="1495" t="s">
        <v>919</v>
      </c>
      <c r="D15" s="859" t="e">
        <f ca="1">'结果表-商业'!H108</f>
        <v>#REF!</v>
      </c>
      <c r="E15" s="1491"/>
    </row>
    <row r="16" spans="1:5" ht="15">
      <c r="A16" s="1491"/>
      <c r="B16" s="3493" t="str">
        <f>'结果表-商业'!E109</f>
        <v>——</v>
      </c>
      <c r="C16" s="1499" t="s">
        <v>920</v>
      </c>
      <c r="D16" s="1500" t="str">
        <f>'结果表-商业'!H109</f>
        <v>——</v>
      </c>
      <c r="E16" s="1491"/>
    </row>
    <row r="17" spans="1:5" ht="15.75">
      <c r="A17" s="1491"/>
      <c r="B17" s="3494"/>
      <c r="C17" s="1494" t="s">
        <v>921</v>
      </c>
      <c r="D17" s="850" t="e">
        <f>NUMBERSTRING(INT(D16*10000),2)&amp;"元整"</f>
        <v>#VALUE!</v>
      </c>
      <c r="E17" s="1491"/>
    </row>
    <row r="18" spans="1:5" ht="15">
      <c r="A18" s="1491"/>
      <c r="B18" s="3495"/>
      <c r="C18" s="1495" t="s">
        <v>910</v>
      </c>
      <c r="D18" s="859" t="str">
        <f>'结果表-商业'!H110</f>
        <v>——</v>
      </c>
      <c r="E18" s="1491"/>
    </row>
    <row r="19" spans="1:5" ht="15.75">
      <c r="A19" s="1491"/>
      <c r="B19" s="3486" t="str">
        <f>'结果表-商业'!E111</f>
        <v>——</v>
      </c>
      <c r="C19" s="1499" t="s">
        <v>908</v>
      </c>
      <c r="D19" s="851" t="str">
        <f>'结果表-商业'!H111</f>
        <v>——</v>
      </c>
      <c r="E19" s="1491"/>
    </row>
    <row r="20" spans="1:5" ht="15.75">
      <c r="A20" s="1491"/>
      <c r="B20" s="3487"/>
      <c r="C20" s="1494" t="s">
        <v>921</v>
      </c>
      <c r="D20" s="850" t="e">
        <f>NUMBERSTRING(INT(D19*10000),2)&amp;"元整"</f>
        <v>#VALUE!</v>
      </c>
      <c r="E20" s="1491"/>
    </row>
    <row r="21" spans="1:5" ht="15.75" thickBot="1">
      <c r="A21" s="1491"/>
      <c r="B21" s="3488"/>
      <c r="C21" s="1501" t="s">
        <v>919</v>
      </c>
      <c r="D21" s="860" t="str">
        <f>'结果表-商业'!H112</f>
        <v>——</v>
      </c>
      <c r="E21" s="1491"/>
    </row>
    <row r="22" spans="1:5" ht="15" thickTop="1">
      <c r="A22" s="1491"/>
      <c r="B22" s="1502" t="s">
        <v>922</v>
      </c>
      <c r="C22" s="1491"/>
      <c r="D22" s="1491"/>
      <c r="E22" s="1491"/>
    </row>
    <row r="23" spans="1:5">
      <c r="A23" s="1491"/>
      <c r="B23" s="1491"/>
      <c r="C23" s="1491"/>
      <c r="D23" s="1491"/>
      <c r="E23" s="1491"/>
    </row>
    <row r="24" spans="1:5" ht="18.75">
      <c r="A24" s="1503"/>
      <c r="B24" s="1504" t="s">
        <v>913</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30520</v>
      </c>
      <c r="C2" s="2" t="s">
        <v>106</v>
      </c>
      <c r="D2" s="199"/>
      <c r="E2" s="199"/>
      <c r="F2" s="199"/>
      <c r="G2" s="199"/>
    </row>
    <row r="3" spans="1:7" s="200" customFormat="1" ht="18" customHeight="1" thickBot="1">
      <c r="A3" s="203" t="s">
        <v>58</v>
      </c>
      <c r="B3" s="204">
        <f ca="1">ROUND(B2*10000/'数据-汇总表'!E3,0)</f>
        <v>392278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v>
      </c>
      <c r="D10" s="845">
        <f>'数据-汇总表'!E6</f>
        <v>778.02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v>
      </c>
      <c r="D19" s="849">
        <f>'数据-汇总表'!E3</f>
        <v>778.02</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1469</v>
      </c>
      <c r="D22" s="235">
        <f ca="1">C26</f>
        <v>1E-3</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21</v>
      </c>
      <c r="D25" s="238"/>
      <c r="E25" s="241"/>
      <c r="F25" s="239"/>
      <c r="G25" s="242" t="s">
        <v>83</v>
      </c>
    </row>
    <row r="26" spans="1:7" s="214" customFormat="1">
      <c r="A26" s="780" t="s">
        <v>350</v>
      </c>
      <c r="B26" s="215" t="s">
        <v>422</v>
      </c>
      <c r="C26" s="238">
        <f ca="1">ROUND(IF('数据-取费表'!B22&lt;=1,F21*F22*'数据-取费表'!B23/2,F21*(POWER((1+F22),'数据-取费表'!B23/2)-1)),4)</f>
        <v>1E-3</v>
      </c>
      <c r="D26" s="238"/>
      <c r="E26" s="241"/>
      <c r="F26" s="239"/>
      <c r="G26" s="243"/>
    </row>
    <row r="27" spans="1:7" s="214" customFormat="1" ht="24.75">
      <c r="A27" s="777" t="s">
        <v>342</v>
      </c>
      <c r="B27" s="244" t="s">
        <v>85</v>
      </c>
      <c r="C27" s="245">
        <f>C28</f>
        <v>4461</v>
      </c>
      <c r="D27" s="235">
        <f>C29</f>
        <v>6.3E-3</v>
      </c>
      <c r="E27" s="236" t="s">
        <v>99</v>
      </c>
      <c r="F27" s="246">
        <f>'数据-取费表'!Q16</f>
        <v>0.21</v>
      </c>
      <c r="G27" s="247" t="s">
        <v>431</v>
      </c>
    </row>
    <row r="28" spans="1:7" s="214" customFormat="1" ht="13.5" customHeight="1">
      <c r="A28" s="780" t="s">
        <v>349</v>
      </c>
      <c r="B28" s="248" t="s">
        <v>424</v>
      </c>
      <c r="C28" s="249">
        <f>ROUND((C5+C19+C20)*F27*'数据-取费表'!B21/'数据-取费表'!B20,0)</f>
        <v>4461</v>
      </c>
      <c r="D28" s="235"/>
      <c r="E28" s="236"/>
      <c r="F28" s="246"/>
      <c r="G28" s="247"/>
    </row>
    <row r="29" spans="1:7" s="214" customFormat="1" ht="13.5" customHeight="1">
      <c r="A29" s="780" t="s">
        <v>347</v>
      </c>
      <c r="B29" s="248" t="s">
        <v>425</v>
      </c>
      <c r="C29" s="238">
        <f>ROUND(C21*F27*'数据-取费表'!B21/'数据-取费表'!B20,4)</f>
        <v>6.3E-3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29883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513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467</v>
      </c>
      <c r="D34" s="217"/>
      <c r="E34" s="220"/>
      <c r="F34" s="257">
        <f>IF('数据-取费表'!B24=0,1,'数据-取费表'!N16)</f>
        <v>1</v>
      </c>
      <c r="G34" s="219" t="s">
        <v>89</v>
      </c>
    </row>
    <row r="35" spans="1:7" ht="13.5" customHeight="1">
      <c r="A35" s="780" t="s">
        <v>351</v>
      </c>
      <c r="B35" s="215" t="s">
        <v>33</v>
      </c>
      <c r="C35" s="220">
        <f>ROUND(C34*F35,0)</f>
        <v>23</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v>
      </c>
      <c r="D37" s="217">
        <f>'数据-汇总表'!E3</f>
        <v>778.02</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15</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19</v>
      </c>
      <c r="D41" s="235">
        <f ca="1">C44</f>
        <v>1E-3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v>
      </c>
      <c r="D42" s="238"/>
      <c r="E42" s="238"/>
      <c r="F42" s="239"/>
      <c r="G42" s="3738" t="s">
        <v>94</v>
      </c>
    </row>
    <row r="43" spans="1:7" ht="13.5" customHeight="1">
      <c r="A43" s="780" t="s">
        <v>347</v>
      </c>
      <c r="B43" s="215" t="s">
        <v>426</v>
      </c>
      <c r="C43" s="238">
        <f ca="1">ROUND(IF('数据-取费表'!B22&lt;=1,C39*F22*'数据-取费表'!B21/2,C39*(POWER((1+F22),'数据-取费表'!B21/2)-1)),0)</f>
        <v>1</v>
      </c>
      <c r="D43" s="238"/>
      <c r="E43" s="238"/>
      <c r="F43" s="239"/>
      <c r="G43" s="3739"/>
    </row>
    <row r="44" spans="1:7" ht="13.5" customHeight="1">
      <c r="A44" s="780" t="s">
        <v>348</v>
      </c>
      <c r="B44" s="215" t="s">
        <v>428</v>
      </c>
      <c r="C44" s="238">
        <f ca="1">ROUND(IF('数据-取费表'!B22&lt;=1,C40*F22*'数据-取费表'!B21/2,C40*(POWER((1+F22),'数据-取费表'!B21/2)-1)),4)</f>
        <v>1E-3</v>
      </c>
      <c r="D44" s="238"/>
      <c r="E44" s="238"/>
      <c r="F44" s="239"/>
      <c r="G44" s="3740"/>
    </row>
    <row r="45" spans="1:7" s="214" customFormat="1" ht="13.5" customHeight="1">
      <c r="A45" s="777" t="s">
        <v>341</v>
      </c>
      <c r="B45" s="244" t="s">
        <v>85</v>
      </c>
      <c r="C45" s="245">
        <f>C46</f>
        <v>111</v>
      </c>
      <c r="D45" s="235">
        <f>C47</f>
        <v>6.3E-3</v>
      </c>
      <c r="E45" s="236" t="s">
        <v>102</v>
      </c>
      <c r="F45" s="246"/>
      <c r="G45" s="247" t="s">
        <v>434</v>
      </c>
    </row>
    <row r="46" spans="1:7" s="214" customFormat="1" ht="13.5" customHeight="1">
      <c r="A46" s="780" t="s">
        <v>349</v>
      </c>
      <c r="B46" s="248" t="s">
        <v>427</v>
      </c>
      <c r="C46" s="249">
        <f>ROUND((C33+C39)*F27,0)</f>
        <v>111</v>
      </c>
      <c r="D46" s="263"/>
      <c r="E46" s="236"/>
      <c r="F46" s="246"/>
      <c r="G46" s="247"/>
    </row>
    <row r="47" spans="1:7" s="214" customFormat="1" ht="13.5" customHeight="1">
      <c r="A47" s="780" t="s">
        <v>347</v>
      </c>
      <c r="B47" s="248" t="s">
        <v>429</v>
      </c>
      <c r="C47" s="238">
        <f>ROUND(C40*F27,4)</f>
        <v>6.3E-3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724</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637</v>
      </c>
      <c r="D51" s="232"/>
      <c r="E51" s="232"/>
      <c r="F51" s="264"/>
      <c r="G51" s="234" t="s">
        <v>37</v>
      </c>
    </row>
    <row r="52" spans="1:7" s="208" customFormat="1" ht="16.5" thickBot="1">
      <c r="A52" s="265" t="s">
        <v>38</v>
      </c>
      <c r="B52" s="266"/>
      <c r="C52" s="267">
        <f ca="1">C31+C51</f>
        <v>30520</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06" t="s">
        <v>2832</v>
      </c>
      <c r="B1" s="3806"/>
      <c r="C1" s="3806"/>
      <c r="D1" s="3806"/>
      <c r="E1" s="3806"/>
      <c r="F1" s="3806"/>
      <c r="G1" s="3807"/>
      <c r="I1" s="3223" t="s">
        <v>2833</v>
      </c>
      <c r="J1" s="3224" t="s">
        <v>2834</v>
      </c>
      <c r="K1" s="3224" t="s">
        <v>2835</v>
      </c>
      <c r="L1" s="3224" t="s">
        <v>2836</v>
      </c>
      <c r="M1" s="3224" t="s">
        <v>2837</v>
      </c>
      <c r="N1" s="3224" t="s">
        <v>2838</v>
      </c>
      <c r="O1" s="3224" t="s">
        <v>2839</v>
      </c>
      <c r="P1" s="3224" t="s">
        <v>2840</v>
      </c>
      <c r="Q1" s="3224" t="s">
        <v>2841</v>
      </c>
      <c r="R1" s="3224" t="s">
        <v>2842</v>
      </c>
      <c r="S1" s="3224" t="s">
        <v>2843</v>
      </c>
      <c r="T1" s="3225" t="s">
        <v>2844</v>
      </c>
    </row>
    <row r="2" spans="1:20" ht="12" thickBot="1">
      <c r="A2" s="3227" t="s">
        <v>2845</v>
      </c>
      <c r="B2" s="3227"/>
      <c r="C2" s="3227"/>
      <c r="D2" s="3227"/>
      <c r="E2" s="3227"/>
      <c r="F2" s="3227"/>
      <c r="G2" s="3228" t="s">
        <v>2846</v>
      </c>
      <c r="I2" s="3229" t="s">
        <v>2847</v>
      </c>
      <c r="J2" s="3229" t="s">
        <v>2848</v>
      </c>
      <c r="K2" s="3229" t="s">
        <v>2849</v>
      </c>
      <c r="L2" s="3229" t="s">
        <v>2850</v>
      </c>
      <c r="M2" s="3229" t="s">
        <v>2851</v>
      </c>
      <c r="N2" s="3229" t="s">
        <v>2852</v>
      </c>
      <c r="O2" s="3229" t="s">
        <v>2853</v>
      </c>
      <c r="P2" s="3229" t="s">
        <v>2854</v>
      </c>
      <c r="Q2" s="3229" t="s">
        <v>2855</v>
      </c>
      <c r="R2" s="3229" t="s">
        <v>2856</v>
      </c>
      <c r="S2" s="3229" t="s">
        <v>2857</v>
      </c>
      <c r="T2" s="3229" t="s">
        <v>2858</v>
      </c>
    </row>
    <row r="3" spans="1:20" s="3235" customFormat="1">
      <c r="A3" s="3804" t="s">
        <v>2859</v>
      </c>
      <c r="B3" s="3230"/>
      <c r="C3" s="3231" t="s">
        <v>2804</v>
      </c>
      <c r="D3" s="3231" t="s">
        <v>2860</v>
      </c>
      <c r="E3" s="3231" t="s">
        <v>2806</v>
      </c>
      <c r="F3" s="3231" t="s">
        <v>2861</v>
      </c>
      <c r="G3" s="3231" t="s">
        <v>2624</v>
      </c>
      <c r="H3" s="3232"/>
      <c r="I3" s="3233" t="s">
        <v>2862</v>
      </c>
      <c r="J3" s="3234" t="s">
        <v>128</v>
      </c>
      <c r="K3" s="3234" t="s">
        <v>129</v>
      </c>
      <c r="L3" s="3233" t="s">
        <v>130</v>
      </c>
      <c r="M3" s="3233" t="s">
        <v>131</v>
      </c>
      <c r="N3" s="3233" t="s">
        <v>132</v>
      </c>
      <c r="O3" s="3233" t="s">
        <v>133</v>
      </c>
      <c r="P3" s="3233" t="s">
        <v>134</v>
      </c>
      <c r="Q3" s="3233" t="s">
        <v>135</v>
      </c>
      <c r="R3" s="3233" t="s">
        <v>136</v>
      </c>
      <c r="S3" s="3233" t="s">
        <v>2863</v>
      </c>
      <c r="T3" s="3233" t="s">
        <v>2864</v>
      </c>
    </row>
    <row r="4" spans="1:20" s="3235" customFormat="1" ht="12" thickBot="1">
      <c r="A4" s="3805"/>
      <c r="B4" s="3236" t="s">
        <v>2865</v>
      </c>
      <c r="C4" s="3236" t="s">
        <v>2866</v>
      </c>
      <c r="D4" s="3236" t="s">
        <v>2866</v>
      </c>
      <c r="E4" s="3236" t="s">
        <v>2866</v>
      </c>
      <c r="F4" s="3237" t="s">
        <v>2866</v>
      </c>
      <c r="G4" s="3237" t="s">
        <v>2866</v>
      </c>
      <c r="H4" s="3232"/>
      <c r="I4" s="3234" t="s">
        <v>137</v>
      </c>
      <c r="J4" s="3234" t="s">
        <v>111</v>
      </c>
      <c r="K4" s="3234" t="s">
        <v>138</v>
      </c>
      <c r="L4" s="3233" t="s">
        <v>139</v>
      </c>
      <c r="M4" s="3233" t="s">
        <v>140</v>
      </c>
      <c r="N4" s="3233" t="s">
        <v>141</v>
      </c>
      <c r="O4" s="3233" t="s">
        <v>142</v>
      </c>
      <c r="P4" s="3233" t="s">
        <v>143</v>
      </c>
      <c r="Q4" s="3233" t="s">
        <v>2867</v>
      </c>
      <c r="R4" s="3233" t="s">
        <v>2868</v>
      </c>
      <c r="S4" s="3233" t="s">
        <v>2869</v>
      </c>
      <c r="T4" s="3233" t="s">
        <v>2870</v>
      </c>
    </row>
    <row r="5" spans="1:20">
      <c r="A5" s="3238" t="s">
        <v>2833</v>
      </c>
      <c r="B5" s="3229" t="s">
        <v>2847</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2871</v>
      </c>
      <c r="R5" s="3233" t="s">
        <v>2872</v>
      </c>
      <c r="S5" s="3233" t="s">
        <v>153</v>
      </c>
      <c r="T5" s="3233" t="s">
        <v>2873</v>
      </c>
    </row>
    <row r="6" spans="1:20" ht="12" thickBot="1">
      <c r="A6" s="3233" t="s">
        <v>144</v>
      </c>
      <c r="B6" s="3233" t="s">
        <v>2862</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2874</v>
      </c>
      <c r="Q6" s="3233" t="s">
        <v>2875</v>
      </c>
      <c r="R6" s="3233" t="s">
        <v>161</v>
      </c>
      <c r="S6" s="3233" t="s">
        <v>2876</v>
      </c>
      <c r="T6" s="3233" t="s">
        <v>2877</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2878</v>
      </c>
      <c r="Q7" s="3233" t="s">
        <v>2879</v>
      </c>
      <c r="R7" s="3233" t="s">
        <v>2880</v>
      </c>
      <c r="S7" s="3233" t="s">
        <v>2881</v>
      </c>
      <c r="T7" s="3233" t="s">
        <v>2882</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2883</v>
      </c>
      <c r="Q8" s="3233" t="s">
        <v>174</v>
      </c>
      <c r="R8" s="3233" t="s">
        <v>2884</v>
      </c>
      <c r="S8" s="3233" t="s">
        <v>2885</v>
      </c>
      <c r="T8" s="3240" t="s">
        <v>2886</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2887</v>
      </c>
      <c r="Q9" s="3233" t="s">
        <v>182</v>
      </c>
      <c r="R9" s="3233" t="s">
        <v>183</v>
      </c>
      <c r="S9" s="3233" t="s">
        <v>200</v>
      </c>
    </row>
    <row r="10" spans="1:20">
      <c r="A10" s="3238" t="s">
        <v>184</v>
      </c>
      <c r="B10" s="3229" t="s">
        <v>2848</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2888</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2889</v>
      </c>
      <c r="P11" s="3233" t="s">
        <v>191</v>
      </c>
      <c r="Q11" s="3233" t="s">
        <v>199</v>
      </c>
      <c r="R11" s="3233" t="s">
        <v>2890</v>
      </c>
      <c r="S11" s="3233" t="s">
        <v>2891</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2892</v>
      </c>
      <c r="P12" s="3233" t="s">
        <v>2893</v>
      </c>
      <c r="Q12" s="3233" t="s">
        <v>2894</v>
      </c>
      <c r="R12" s="3233" t="s">
        <v>2895</v>
      </c>
      <c r="S12" s="3233" t="s">
        <v>2896</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2897</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2898</v>
      </c>
      <c r="K14" s="3234" t="s">
        <v>215</v>
      </c>
      <c r="L14" s="3233" t="s">
        <v>216</v>
      </c>
      <c r="M14" s="3233" t="s">
        <v>217</v>
      </c>
      <c r="N14" s="3233" t="s">
        <v>218</v>
      </c>
      <c r="O14" s="3233" t="s">
        <v>240</v>
      </c>
      <c r="P14" s="3233" t="s">
        <v>213</v>
      </c>
      <c r="Q14" s="3233" t="s">
        <v>2899</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2900</v>
      </c>
      <c r="P15" s="3233" t="s">
        <v>2901</v>
      </c>
      <c r="Q15" s="3233" t="s">
        <v>242</v>
      </c>
      <c r="R15" s="3233" t="s">
        <v>2902</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2903</v>
      </c>
      <c r="P16" s="3233" t="s">
        <v>227</v>
      </c>
      <c r="Q16" s="3233" t="s">
        <v>250</v>
      </c>
      <c r="R16" s="3233" t="s">
        <v>207</v>
      </c>
      <c r="S16" s="3233" t="s">
        <v>2904</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2905</v>
      </c>
      <c r="P17" s="3233" t="s">
        <v>2906</v>
      </c>
      <c r="Q17" s="3233" t="s">
        <v>256</v>
      </c>
      <c r="R17" s="3233" t="s">
        <v>2907</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2908</v>
      </c>
      <c r="P18" s="3233" t="s">
        <v>241</v>
      </c>
      <c r="Q18" s="3233" t="s">
        <v>2909</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2910</v>
      </c>
      <c r="P19" s="3233" t="s">
        <v>249</v>
      </c>
      <c r="Q19" s="3233" t="s">
        <v>2911</v>
      </c>
      <c r="R19" s="3233" t="s">
        <v>265</v>
      </c>
      <c r="S19" s="3233" t="s">
        <v>2912</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2913</v>
      </c>
      <c r="P20" s="3233" t="s">
        <v>2914</v>
      </c>
      <c r="Q20" s="3233" t="s">
        <v>290</v>
      </c>
      <c r="R20" s="3233" t="s">
        <v>2915</v>
      </c>
      <c r="S20" s="3233" t="s">
        <v>277</v>
      </c>
    </row>
    <row r="21" spans="1:19" ht="14.25" customHeight="1" thickBot="1">
      <c r="A21" s="3233" t="s">
        <v>184</v>
      </c>
      <c r="B21" s="3234" t="s">
        <v>208</v>
      </c>
      <c r="C21" s="3233">
        <v>32370</v>
      </c>
      <c r="D21" s="3233">
        <v>26730</v>
      </c>
      <c r="E21" s="3233">
        <v>26640</v>
      </c>
      <c r="F21" s="3233"/>
      <c r="G21" s="3233">
        <v>19440</v>
      </c>
      <c r="J21" s="3240" t="s">
        <v>2916</v>
      </c>
      <c r="K21" s="3234" t="s">
        <v>267</v>
      </c>
      <c r="L21" s="3233" t="s">
        <v>268</v>
      </c>
      <c r="M21" s="3233" t="s">
        <v>269</v>
      </c>
      <c r="N21" s="3233" t="s">
        <v>270</v>
      </c>
      <c r="O21" s="3233" t="s">
        <v>264</v>
      </c>
      <c r="P21" s="3233" t="s">
        <v>283</v>
      </c>
      <c r="Q21" s="3233" t="s">
        <v>293</v>
      </c>
      <c r="R21" s="3233" t="s">
        <v>2917</v>
      </c>
      <c r="S21" s="3240" t="s">
        <v>2918</v>
      </c>
    </row>
    <row r="22" spans="1:19" ht="14.25" customHeight="1">
      <c r="A22" s="3233" t="s">
        <v>184</v>
      </c>
      <c r="B22" s="3234" t="s">
        <v>2898</v>
      </c>
      <c r="C22" s="3233">
        <v>29830</v>
      </c>
      <c r="D22" s="3233">
        <v>27600</v>
      </c>
      <c r="E22" s="3233">
        <v>28150</v>
      </c>
      <c r="F22" s="3233"/>
      <c r="G22" s="3233">
        <v>20080</v>
      </c>
      <c r="K22" s="3234" t="s">
        <v>2919</v>
      </c>
      <c r="L22" s="3233" t="s">
        <v>272</v>
      </c>
      <c r="M22" s="3233" t="s">
        <v>273</v>
      </c>
      <c r="N22" s="3233" t="s">
        <v>274</v>
      </c>
      <c r="O22" s="3233" t="s">
        <v>2920</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2921</v>
      </c>
      <c r="L23" s="3233" t="s">
        <v>278</v>
      </c>
      <c r="M23" s="3233" t="s">
        <v>279</v>
      </c>
      <c r="N23" s="3233" t="s">
        <v>2922</v>
      </c>
      <c r="O23" s="3233" t="s">
        <v>2923</v>
      </c>
      <c r="P23" s="3233" t="s">
        <v>289</v>
      </c>
      <c r="Q23" s="3233" t="s">
        <v>298</v>
      </c>
      <c r="R23" s="3233" t="s">
        <v>2924</v>
      </c>
    </row>
    <row r="24" spans="1:19" ht="14.25" customHeight="1">
      <c r="A24" s="3233" t="s">
        <v>184</v>
      </c>
      <c r="B24" s="3234" t="s">
        <v>230</v>
      </c>
      <c r="C24" s="3233">
        <v>27930</v>
      </c>
      <c r="D24" s="3233">
        <v>32260</v>
      </c>
      <c r="E24" s="3233">
        <v>32120</v>
      </c>
      <c r="F24" s="3233"/>
      <c r="G24" s="3233">
        <v>23470</v>
      </c>
      <c r="K24" s="3234" t="s">
        <v>2925</v>
      </c>
      <c r="L24" s="3233" t="s">
        <v>281</v>
      </c>
      <c r="M24" s="3233" t="s">
        <v>282</v>
      </c>
      <c r="N24" s="3233" t="s">
        <v>2926</v>
      </c>
      <c r="O24" s="3233" t="s">
        <v>285</v>
      </c>
      <c r="P24" s="3233" t="s">
        <v>2927</v>
      </c>
      <c r="Q24" s="3242" t="s">
        <v>2928</v>
      </c>
      <c r="R24" s="3233" t="s">
        <v>2929</v>
      </c>
    </row>
    <row r="25" spans="1:19" ht="14.25" customHeight="1">
      <c r="A25" s="3233" t="s">
        <v>184</v>
      </c>
      <c r="B25" s="3234" t="s">
        <v>235</v>
      </c>
      <c r="C25" s="3233">
        <v>32230</v>
      </c>
      <c r="D25" s="3233">
        <v>29640</v>
      </c>
      <c r="E25" s="3233">
        <v>29510</v>
      </c>
      <c r="F25" s="3233"/>
      <c r="G25" s="3233">
        <v>21560</v>
      </c>
      <c r="K25" s="3234" t="s">
        <v>2930</v>
      </c>
      <c r="L25" s="3233" t="s">
        <v>2931</v>
      </c>
      <c r="M25" s="3233" t="s">
        <v>284</v>
      </c>
      <c r="N25" s="3233" t="s">
        <v>292</v>
      </c>
      <c r="O25" s="3233" t="s">
        <v>288</v>
      </c>
      <c r="P25" s="3233" t="s">
        <v>275</v>
      </c>
      <c r="Q25" s="3242" t="s">
        <v>271</v>
      </c>
      <c r="R25" s="3233" t="s">
        <v>2932</v>
      </c>
    </row>
    <row r="26" spans="1:19" ht="14.25" customHeight="1" thickBot="1">
      <c r="A26" s="3233" t="s">
        <v>184</v>
      </c>
      <c r="B26" s="3234" t="s">
        <v>244</v>
      </c>
      <c r="C26" s="3233">
        <v>31690</v>
      </c>
      <c r="D26" s="3233">
        <v>27650</v>
      </c>
      <c r="E26" s="3233">
        <v>28200</v>
      </c>
      <c r="F26" s="3233"/>
      <c r="G26" s="3233">
        <v>20110</v>
      </c>
      <c r="K26" s="3239" t="s">
        <v>2933</v>
      </c>
      <c r="L26" s="3233" t="s">
        <v>2934</v>
      </c>
      <c r="M26" s="3233" t="s">
        <v>287</v>
      </c>
      <c r="N26" s="3233" t="s">
        <v>294</v>
      </c>
      <c r="O26" s="3233" t="s">
        <v>2935</v>
      </c>
      <c r="P26" s="3233" t="s">
        <v>2936</v>
      </c>
      <c r="Q26" s="3242" t="s">
        <v>276</v>
      </c>
      <c r="R26" s="3233" t="s">
        <v>2937</v>
      </c>
    </row>
    <row r="27" spans="1:19" ht="14.25" customHeight="1">
      <c r="A27" s="3233" t="s">
        <v>184</v>
      </c>
      <c r="B27" s="3234" t="s">
        <v>251</v>
      </c>
      <c r="C27" s="3233">
        <v>29610</v>
      </c>
      <c r="D27" s="3233">
        <v>27770</v>
      </c>
      <c r="E27" s="3233">
        <v>28300</v>
      </c>
      <c r="F27" s="3233"/>
      <c r="G27" s="3233">
        <v>20210</v>
      </c>
      <c r="L27" s="3233" t="s">
        <v>2938</v>
      </c>
      <c r="M27" s="3233" t="s">
        <v>291</v>
      </c>
      <c r="N27" s="3233" t="s">
        <v>297</v>
      </c>
      <c r="O27" s="3233" t="s">
        <v>2939</v>
      </c>
      <c r="P27" s="3233" t="s">
        <v>2940</v>
      </c>
      <c r="Q27" s="3233" t="s">
        <v>2941</v>
      </c>
      <c r="R27" s="3233" t="s">
        <v>2942</v>
      </c>
    </row>
    <row r="28" spans="1:19" ht="14.25" customHeight="1">
      <c r="A28" s="3233" t="s">
        <v>184</v>
      </c>
      <c r="B28" s="3234" t="s">
        <v>259</v>
      </c>
      <c r="C28" s="3233"/>
      <c r="D28" s="3233">
        <v>31520</v>
      </c>
      <c r="E28" s="3233">
        <v>31410</v>
      </c>
      <c r="F28" s="3233"/>
      <c r="G28" s="3233">
        <v>22940</v>
      </c>
      <c r="L28" s="3233" t="s">
        <v>2943</v>
      </c>
      <c r="M28" s="3233" t="s">
        <v>2944</v>
      </c>
      <c r="N28" s="3233" t="s">
        <v>2945</v>
      </c>
      <c r="O28" s="3233" t="s">
        <v>2946</v>
      </c>
      <c r="P28" s="3233" t="s">
        <v>2947</v>
      </c>
      <c r="Q28" s="3233" t="s">
        <v>2948</v>
      </c>
      <c r="R28" s="3233" t="s">
        <v>2949</v>
      </c>
    </row>
    <row r="29" spans="1:19" ht="14.25" customHeight="1" thickBot="1">
      <c r="A29" s="3241" t="s">
        <v>184</v>
      </c>
      <c r="B29" s="3243" t="s">
        <v>2916</v>
      </c>
      <c r="C29" s="3244"/>
      <c r="D29" s="3244">
        <v>29460</v>
      </c>
      <c r="E29" s="3244">
        <v>28640</v>
      </c>
      <c r="F29" s="3244"/>
      <c r="G29" s="3244">
        <v>21430</v>
      </c>
      <c r="L29" s="3233" t="s">
        <v>2950</v>
      </c>
      <c r="M29" s="3233" t="s">
        <v>2951</v>
      </c>
      <c r="N29" s="3233" t="s">
        <v>2952</v>
      </c>
      <c r="O29" s="3233" t="s">
        <v>2953</v>
      </c>
      <c r="P29" s="3233" t="s">
        <v>2954</v>
      </c>
      <c r="Q29" s="3233" t="s">
        <v>2955</v>
      </c>
      <c r="R29" s="3233" t="s">
        <v>280</v>
      </c>
    </row>
    <row r="30" spans="1:19" ht="14.25" customHeight="1">
      <c r="A30" s="3238" t="s">
        <v>296</v>
      </c>
      <c r="B30" s="3229" t="s">
        <v>2849</v>
      </c>
      <c r="C30" s="3229">
        <v>26890</v>
      </c>
      <c r="D30" s="3229">
        <v>26770</v>
      </c>
      <c r="E30" s="3229">
        <v>25700</v>
      </c>
      <c r="F30" s="3229">
        <v>8180</v>
      </c>
      <c r="G30" s="3245">
        <v>18740</v>
      </c>
      <c r="L30" s="3233" t="s">
        <v>2956</v>
      </c>
      <c r="M30" s="3233" t="s">
        <v>2957</v>
      </c>
      <c r="N30" s="3233" t="s">
        <v>2958</v>
      </c>
      <c r="O30" s="3233" t="s">
        <v>2959</v>
      </c>
      <c r="P30" s="3233" t="s">
        <v>2960</v>
      </c>
      <c r="Q30" s="3233" t="s">
        <v>2961</v>
      </c>
      <c r="R30" s="3233" t="s">
        <v>2962</v>
      </c>
    </row>
    <row r="31" spans="1:19" ht="14.25" customHeight="1">
      <c r="A31" s="3233" t="s">
        <v>296</v>
      </c>
      <c r="B31" s="3234" t="s">
        <v>129</v>
      </c>
      <c r="C31" s="3233">
        <v>24550</v>
      </c>
      <c r="D31" s="3233">
        <v>23990</v>
      </c>
      <c r="E31" s="3233">
        <v>22930</v>
      </c>
      <c r="F31" s="3233">
        <v>7470</v>
      </c>
      <c r="G31" s="3246">
        <v>16790</v>
      </c>
      <c r="L31" s="3233" t="s">
        <v>2963</v>
      </c>
      <c r="M31" s="3233" t="s">
        <v>2964</v>
      </c>
      <c r="N31" s="3233" t="s">
        <v>2965</v>
      </c>
      <c r="O31" s="3233" t="s">
        <v>2966</v>
      </c>
      <c r="P31" s="3233" t="s">
        <v>2967</v>
      </c>
      <c r="Q31" s="3233" t="s">
        <v>2968</v>
      </c>
      <c r="R31" s="3233" t="s">
        <v>2969</v>
      </c>
    </row>
    <row r="32" spans="1:19" ht="14.25" customHeight="1" thickBot="1">
      <c r="A32" s="3233" t="s">
        <v>296</v>
      </c>
      <c r="B32" s="3234" t="s">
        <v>138</v>
      </c>
      <c r="C32" s="3233">
        <v>27210</v>
      </c>
      <c r="D32" s="3233">
        <v>23240</v>
      </c>
      <c r="E32" s="3233">
        <v>23260</v>
      </c>
      <c r="F32" s="3233">
        <v>7130</v>
      </c>
      <c r="G32" s="3246">
        <v>16270</v>
      </c>
      <c r="L32" s="3233" t="s">
        <v>2970</v>
      </c>
      <c r="M32" s="3233" t="s">
        <v>2971</v>
      </c>
      <c r="N32" s="3233" t="s">
        <v>300</v>
      </c>
      <c r="O32" s="3233" t="s">
        <v>2972</v>
      </c>
      <c r="P32" s="3233" t="s">
        <v>299</v>
      </c>
      <c r="Q32" s="3233" t="s">
        <v>2973</v>
      </c>
      <c r="R32" s="3240" t="s">
        <v>2974</v>
      </c>
    </row>
    <row r="33" spans="1:17" ht="14.25" customHeight="1" thickBot="1">
      <c r="A33" s="3233" t="s">
        <v>296</v>
      </c>
      <c r="B33" s="3234" t="s">
        <v>147</v>
      </c>
      <c r="C33" s="3233">
        <v>27300</v>
      </c>
      <c r="D33" s="3233">
        <v>22980</v>
      </c>
      <c r="E33" s="3233">
        <v>24260</v>
      </c>
      <c r="F33" s="3233">
        <v>5860</v>
      </c>
      <c r="G33" s="3246">
        <v>16090</v>
      </c>
      <c r="L33" s="3240" t="s">
        <v>2975</v>
      </c>
      <c r="M33" s="3233" t="s">
        <v>2976</v>
      </c>
      <c r="N33" s="3233" t="s">
        <v>301</v>
      </c>
      <c r="O33" s="3233" t="s">
        <v>2977</v>
      </c>
      <c r="P33" s="3233" t="s">
        <v>2978</v>
      </c>
      <c r="Q33" s="3233" t="s">
        <v>2979</v>
      </c>
    </row>
    <row r="34" spans="1:17" ht="14.25" customHeight="1">
      <c r="A34" s="3233" t="s">
        <v>296</v>
      </c>
      <c r="B34" s="3234" t="s">
        <v>156</v>
      </c>
      <c r="C34" s="3233">
        <v>23090</v>
      </c>
      <c r="D34" s="3233">
        <v>23390</v>
      </c>
      <c r="E34" s="3233">
        <v>23510</v>
      </c>
      <c r="F34" s="3233">
        <v>6700</v>
      </c>
      <c r="G34" s="3246">
        <v>16370</v>
      </c>
      <c r="M34" s="3233" t="s">
        <v>2980</v>
      </c>
      <c r="N34" s="3233" t="s">
        <v>302</v>
      </c>
      <c r="O34" s="3233" t="s">
        <v>2981</v>
      </c>
      <c r="P34" s="3233" t="s">
        <v>2982</v>
      </c>
      <c r="Q34" s="3233" t="s">
        <v>2983</v>
      </c>
    </row>
    <row r="35" spans="1:17" ht="14.25" customHeight="1">
      <c r="A35" s="3233" t="s">
        <v>296</v>
      </c>
      <c r="B35" s="3234" t="s">
        <v>163</v>
      </c>
      <c r="C35" s="3233">
        <v>27270</v>
      </c>
      <c r="D35" s="3233">
        <v>24270</v>
      </c>
      <c r="E35" s="3233">
        <v>24950</v>
      </c>
      <c r="F35" s="3233">
        <v>6600</v>
      </c>
      <c r="G35" s="3246">
        <v>16990</v>
      </c>
      <c r="M35" s="3233" t="s">
        <v>2984</v>
      </c>
      <c r="N35" s="3233" t="s">
        <v>2985</v>
      </c>
      <c r="O35" s="3233" t="s">
        <v>2986</v>
      </c>
      <c r="P35" s="3233" t="s">
        <v>2987</v>
      </c>
      <c r="Q35" s="3233" t="s">
        <v>2988</v>
      </c>
    </row>
    <row r="36" spans="1:17" ht="14.25" customHeight="1">
      <c r="A36" s="3233" t="s">
        <v>296</v>
      </c>
      <c r="B36" s="3234" t="s">
        <v>169</v>
      </c>
      <c r="C36" s="3233">
        <v>23490</v>
      </c>
      <c r="D36" s="3233">
        <v>23020</v>
      </c>
      <c r="E36" s="3233">
        <v>25230</v>
      </c>
      <c r="F36" s="3233">
        <v>6780</v>
      </c>
      <c r="G36" s="3246">
        <v>16120</v>
      </c>
      <c r="M36" s="3233" t="s">
        <v>2989</v>
      </c>
      <c r="N36" s="3233" t="s">
        <v>2990</v>
      </c>
      <c r="O36" s="3233" t="s">
        <v>2991</v>
      </c>
      <c r="P36" s="3233" t="s">
        <v>2992</v>
      </c>
      <c r="Q36" s="3233" t="s">
        <v>2993</v>
      </c>
    </row>
    <row r="37" spans="1:17" ht="14.25" customHeight="1">
      <c r="A37" s="3233" t="s">
        <v>296</v>
      </c>
      <c r="B37" s="3234" t="s">
        <v>176</v>
      </c>
      <c r="C37" s="3233">
        <v>24380</v>
      </c>
      <c r="D37" s="3233">
        <v>22240</v>
      </c>
      <c r="E37" s="3233">
        <v>25980</v>
      </c>
      <c r="F37" s="3233">
        <v>8160</v>
      </c>
      <c r="G37" s="3246">
        <v>15570</v>
      </c>
      <c r="M37" s="3233" t="s">
        <v>2994</v>
      </c>
      <c r="N37" s="3233" t="s">
        <v>2995</v>
      </c>
      <c r="O37" s="3233" t="s">
        <v>2996</v>
      </c>
      <c r="P37" s="3233" t="s">
        <v>2997</v>
      </c>
      <c r="Q37" s="3233" t="s">
        <v>2998</v>
      </c>
    </row>
    <row r="38" spans="1:17" ht="14.25" customHeight="1">
      <c r="A38" s="3233" t="s">
        <v>296</v>
      </c>
      <c r="B38" s="3234" t="s">
        <v>186</v>
      </c>
      <c r="C38" s="3233">
        <v>23120</v>
      </c>
      <c r="D38" s="3233">
        <v>24630</v>
      </c>
      <c r="E38" s="3233">
        <v>25030</v>
      </c>
      <c r="F38" s="3233">
        <v>7710</v>
      </c>
      <c r="G38" s="3246">
        <v>17240</v>
      </c>
      <c r="M38" s="3233" t="s">
        <v>2999</v>
      </c>
      <c r="N38" s="3233" t="s">
        <v>3000</v>
      </c>
      <c r="O38" s="3233" t="s">
        <v>3001</v>
      </c>
      <c r="P38" s="3233" t="s">
        <v>3002</v>
      </c>
      <c r="Q38" s="3233" t="s">
        <v>3003</v>
      </c>
    </row>
    <row r="39" spans="1:17" ht="14.25" customHeight="1">
      <c r="A39" s="3233" t="s">
        <v>296</v>
      </c>
      <c r="B39" s="3234" t="s">
        <v>195</v>
      </c>
      <c r="C39" s="3233">
        <v>22330</v>
      </c>
      <c r="D39" s="3233">
        <v>21140</v>
      </c>
      <c r="E39" s="3233">
        <v>23970</v>
      </c>
      <c r="F39" s="3233">
        <v>7940</v>
      </c>
      <c r="G39" s="3246">
        <v>14790</v>
      </c>
      <c r="M39" s="3233" t="s">
        <v>3004</v>
      </c>
      <c r="N39" s="3233" t="s">
        <v>3005</v>
      </c>
      <c r="O39" s="3233" t="s">
        <v>3006</v>
      </c>
      <c r="P39" s="3233" t="s">
        <v>3007</v>
      </c>
      <c r="Q39" s="3233" t="s">
        <v>3008</v>
      </c>
    </row>
    <row r="40" spans="1:17" ht="14.25" customHeight="1">
      <c r="A40" s="3233" t="s">
        <v>296</v>
      </c>
      <c r="B40" s="3234" t="s">
        <v>202</v>
      </c>
      <c r="C40" s="3233">
        <v>24740</v>
      </c>
      <c r="D40" s="3233">
        <v>24690</v>
      </c>
      <c r="E40" s="3233">
        <v>22610</v>
      </c>
      <c r="F40" s="3233"/>
      <c r="G40" s="3246">
        <v>17280</v>
      </c>
      <c r="M40" s="3233" t="s">
        <v>3009</v>
      </c>
      <c r="N40" s="3233" t="s">
        <v>3010</v>
      </c>
      <c r="O40" s="3233" t="s">
        <v>3011</v>
      </c>
      <c r="P40" s="3233" t="s">
        <v>3012</v>
      </c>
      <c r="Q40" s="3233" t="s">
        <v>3013</v>
      </c>
    </row>
    <row r="41" spans="1:17" ht="14.25" customHeight="1" thickBot="1">
      <c r="A41" s="3233" t="s">
        <v>296</v>
      </c>
      <c r="B41" s="3234" t="s">
        <v>209</v>
      </c>
      <c r="C41" s="3233">
        <v>21220</v>
      </c>
      <c r="D41" s="3233">
        <v>21120</v>
      </c>
      <c r="E41" s="3233">
        <v>22590</v>
      </c>
      <c r="F41" s="3233"/>
      <c r="G41" s="3246">
        <v>14780</v>
      </c>
      <c r="M41" s="3240" t="s">
        <v>3014</v>
      </c>
      <c r="N41" s="3233" t="s">
        <v>3015</v>
      </c>
      <c r="O41" s="3233" t="s">
        <v>3016</v>
      </c>
      <c r="P41" s="3233" t="s">
        <v>3017</v>
      </c>
      <c r="Q41" s="3233" t="s">
        <v>3018</v>
      </c>
    </row>
    <row r="42" spans="1:17" ht="14.25" customHeight="1">
      <c r="A42" s="3233" t="s">
        <v>296</v>
      </c>
      <c r="B42" s="3234" t="s">
        <v>215</v>
      </c>
      <c r="C42" s="3233">
        <v>24800</v>
      </c>
      <c r="D42" s="3233">
        <v>22280</v>
      </c>
      <c r="E42" s="3233">
        <v>24350</v>
      </c>
      <c r="F42" s="3233"/>
      <c r="G42" s="3246">
        <v>15590</v>
      </c>
      <c r="N42" s="3233" t="s">
        <v>3019</v>
      </c>
      <c r="O42" s="3233" t="s">
        <v>3020</v>
      </c>
      <c r="P42" s="3233" t="s">
        <v>3021</v>
      </c>
      <c r="Q42" s="3233" t="s">
        <v>3022</v>
      </c>
    </row>
    <row r="43" spans="1:17" ht="14.25" customHeight="1">
      <c r="A43" s="3233" t="s">
        <v>3023</v>
      </c>
      <c r="B43" s="3234" t="s">
        <v>223</v>
      </c>
      <c r="C43" s="3233">
        <v>21210</v>
      </c>
      <c r="D43" s="3233">
        <v>21160</v>
      </c>
      <c r="E43" s="3233">
        <v>22650</v>
      </c>
      <c r="F43" s="3233"/>
      <c r="G43" s="3246">
        <v>14800</v>
      </c>
      <c r="N43" s="3233" t="s">
        <v>3024</v>
      </c>
      <c r="O43" s="3233" t="s">
        <v>3025</v>
      </c>
      <c r="P43" s="3233" t="s">
        <v>3026</v>
      </c>
      <c r="Q43" s="3233" t="s">
        <v>3027</v>
      </c>
    </row>
    <row r="44" spans="1:17" ht="14.25" customHeight="1" thickBot="1">
      <c r="A44" s="3233" t="s">
        <v>296</v>
      </c>
      <c r="B44" s="3234" t="s">
        <v>231</v>
      </c>
      <c r="C44" s="3233">
        <v>22370</v>
      </c>
      <c r="D44" s="3233">
        <v>23140</v>
      </c>
      <c r="E44" s="3233">
        <v>25090</v>
      </c>
      <c r="F44" s="3233"/>
      <c r="G44" s="3246">
        <v>16190</v>
      </c>
      <c r="N44" s="3233" t="s">
        <v>3028</v>
      </c>
      <c r="O44" s="3233" t="s">
        <v>3029</v>
      </c>
      <c r="P44" s="3240" t="s">
        <v>3030</v>
      </c>
      <c r="Q44" s="3233" t="s">
        <v>3031</v>
      </c>
    </row>
    <row r="45" spans="1:17" ht="14.25" customHeight="1" thickBot="1">
      <c r="A45" s="3233" t="s">
        <v>296</v>
      </c>
      <c r="B45" s="3234" t="s">
        <v>236</v>
      </c>
      <c r="C45" s="3233">
        <v>21240</v>
      </c>
      <c r="D45" s="3233">
        <v>27050</v>
      </c>
      <c r="E45" s="3233">
        <v>28000</v>
      </c>
      <c r="F45" s="3233"/>
      <c r="G45" s="3246">
        <v>18940</v>
      </c>
      <c r="N45" s="3233" t="s">
        <v>3032</v>
      </c>
      <c r="O45" s="3240" t="s">
        <v>3033</v>
      </c>
      <c r="Q45" s="3233" t="s">
        <v>3034</v>
      </c>
    </row>
    <row r="46" spans="1:17" ht="14.25" customHeight="1">
      <c r="A46" s="3233" t="s">
        <v>296</v>
      </c>
      <c r="B46" s="3234" t="s">
        <v>245</v>
      </c>
      <c r="C46" s="3233">
        <v>23240</v>
      </c>
      <c r="D46" s="3233">
        <v>23000</v>
      </c>
      <c r="E46" s="3233">
        <v>24980</v>
      </c>
      <c r="F46" s="3233"/>
      <c r="G46" s="3246">
        <v>16100</v>
      </c>
      <c r="N46" s="3233" t="s">
        <v>3035</v>
      </c>
      <c r="Q46" s="3233" t="s">
        <v>3036</v>
      </c>
    </row>
    <row r="47" spans="1:17" ht="14.25" customHeight="1">
      <c r="A47" s="3233" t="s">
        <v>296</v>
      </c>
      <c r="B47" s="3234" t="s">
        <v>252</v>
      </c>
      <c r="C47" s="3233">
        <v>27150</v>
      </c>
      <c r="D47" s="3233">
        <v>23310</v>
      </c>
      <c r="E47" s="3233">
        <v>25150</v>
      </c>
      <c r="F47" s="3233"/>
      <c r="G47" s="3246">
        <v>16310</v>
      </c>
      <c r="N47" s="3233" t="s">
        <v>3037</v>
      </c>
      <c r="Q47" s="3233" t="s">
        <v>3038</v>
      </c>
    </row>
    <row r="48" spans="1:17" ht="14.25" customHeight="1">
      <c r="A48" s="3233" t="s">
        <v>296</v>
      </c>
      <c r="B48" s="3234" t="s">
        <v>260</v>
      </c>
      <c r="C48" s="3233">
        <v>23100</v>
      </c>
      <c r="D48" s="3233">
        <v>21110</v>
      </c>
      <c r="E48" s="3233">
        <v>23080</v>
      </c>
      <c r="F48" s="3233"/>
      <c r="G48" s="3246">
        <v>14780</v>
      </c>
      <c r="N48" s="3233" t="s">
        <v>3039</v>
      </c>
      <c r="Q48" s="3233" t="s">
        <v>3040</v>
      </c>
    </row>
    <row r="49" spans="1:17" ht="14.25" customHeight="1">
      <c r="A49" s="3233" t="s">
        <v>296</v>
      </c>
      <c r="B49" s="3234" t="s">
        <v>267</v>
      </c>
      <c r="C49" s="3233">
        <v>23400</v>
      </c>
      <c r="D49" s="3233">
        <v>22920</v>
      </c>
      <c r="E49" s="3233">
        <v>24900</v>
      </c>
      <c r="F49" s="3233"/>
      <c r="G49" s="3246">
        <v>16040</v>
      </c>
      <c r="N49" s="3233" t="s">
        <v>3041</v>
      </c>
      <c r="Q49" s="3233" t="s">
        <v>3042</v>
      </c>
    </row>
    <row r="50" spans="1:17" ht="14.25" customHeight="1">
      <c r="A50" s="3233" t="s">
        <v>296</v>
      </c>
      <c r="B50" s="3234" t="s">
        <v>2919</v>
      </c>
      <c r="C50" s="3233">
        <v>21200</v>
      </c>
      <c r="D50" s="3233">
        <v>26540</v>
      </c>
      <c r="E50" s="3233">
        <v>23200</v>
      </c>
      <c r="F50" s="3233"/>
      <c r="G50" s="3246">
        <v>18580</v>
      </c>
      <c r="N50" s="3233" t="s">
        <v>3043</v>
      </c>
      <c r="Q50" s="3234" t="s">
        <v>3044</v>
      </c>
    </row>
    <row r="51" spans="1:17" ht="14.25" customHeight="1" thickBot="1">
      <c r="A51" s="3233" t="s">
        <v>296</v>
      </c>
      <c r="B51" s="3234" t="s">
        <v>2921</v>
      </c>
      <c r="C51" s="3233">
        <v>23000</v>
      </c>
      <c r="D51" s="3233">
        <v>23460</v>
      </c>
      <c r="E51" s="3233">
        <v>25290</v>
      </c>
      <c r="F51" s="3233"/>
      <c r="G51" s="3246">
        <v>16420</v>
      </c>
      <c r="N51" s="3233" t="s">
        <v>3045</v>
      </c>
      <c r="Q51" s="3240" t="s">
        <v>3046</v>
      </c>
    </row>
    <row r="52" spans="1:17" ht="14.25" customHeight="1">
      <c r="A52" s="3233" t="s">
        <v>296</v>
      </c>
      <c r="B52" s="3234" t="s">
        <v>2925</v>
      </c>
      <c r="C52" s="3233">
        <v>26660</v>
      </c>
      <c r="D52" s="3233">
        <v>22350</v>
      </c>
      <c r="E52" s="3233">
        <v>22920</v>
      </c>
      <c r="F52" s="3233"/>
      <c r="G52" s="3246">
        <v>15640</v>
      </c>
      <c r="N52" s="3233" t="s">
        <v>3047</v>
      </c>
    </row>
    <row r="53" spans="1:17" ht="14.25" customHeight="1">
      <c r="A53" s="3233" t="s">
        <v>296</v>
      </c>
      <c r="B53" s="3234" t="s">
        <v>2930</v>
      </c>
      <c r="C53" s="3233">
        <v>23580</v>
      </c>
      <c r="D53" s="3233"/>
      <c r="E53" s="3233">
        <v>24280</v>
      </c>
      <c r="F53" s="3233"/>
      <c r="G53" s="3246"/>
      <c r="N53" s="3233" t="s">
        <v>3048</v>
      </c>
    </row>
    <row r="54" spans="1:17" ht="14.25" customHeight="1" thickBot="1">
      <c r="A54" s="3247" t="s">
        <v>296</v>
      </c>
      <c r="B54" s="3239" t="s">
        <v>2933</v>
      </c>
      <c r="C54" s="3240">
        <v>22460</v>
      </c>
      <c r="D54" s="3240"/>
      <c r="E54" s="3240"/>
      <c r="F54" s="3240"/>
      <c r="G54" s="3248"/>
      <c r="N54" s="3233" t="s">
        <v>3049</v>
      </c>
    </row>
    <row r="55" spans="1:17" ht="14.25" customHeight="1">
      <c r="A55" s="3238" t="s">
        <v>110</v>
      </c>
      <c r="B55" s="3229" t="s">
        <v>3050</v>
      </c>
      <c r="C55" s="3233">
        <v>21970</v>
      </c>
      <c r="D55" s="3233">
        <v>20370</v>
      </c>
      <c r="E55" s="3233">
        <v>20180</v>
      </c>
      <c r="F55" s="3233">
        <v>5730</v>
      </c>
      <c r="G55" s="3233">
        <v>13820</v>
      </c>
      <c r="N55" s="3233" t="s">
        <v>3051</v>
      </c>
    </row>
    <row r="56" spans="1:17" ht="14.25" customHeight="1">
      <c r="A56" s="3233" t="s">
        <v>110</v>
      </c>
      <c r="B56" s="3233" t="s">
        <v>130</v>
      </c>
      <c r="C56" s="3233">
        <v>20470</v>
      </c>
      <c r="D56" s="3233">
        <v>20700</v>
      </c>
      <c r="E56" s="3233">
        <v>20380</v>
      </c>
      <c r="F56" s="3233">
        <v>4760</v>
      </c>
      <c r="G56" s="3233">
        <v>14050</v>
      </c>
      <c r="N56" s="3233" t="s">
        <v>3052</v>
      </c>
    </row>
    <row r="57" spans="1:17" ht="14.25" customHeight="1">
      <c r="A57" s="3233" t="s">
        <v>110</v>
      </c>
      <c r="B57" s="3233" t="s">
        <v>139</v>
      </c>
      <c r="C57" s="3233">
        <v>20790</v>
      </c>
      <c r="D57" s="3233">
        <v>21370</v>
      </c>
      <c r="E57" s="3233">
        <v>20890</v>
      </c>
      <c r="F57" s="3233">
        <v>4910</v>
      </c>
      <c r="G57" s="3233">
        <v>14510</v>
      </c>
      <c r="N57" s="3233" t="s">
        <v>3053</v>
      </c>
    </row>
    <row r="58" spans="1:17" ht="14.25" customHeight="1">
      <c r="A58" s="3233" t="s">
        <v>110</v>
      </c>
      <c r="B58" s="3233" t="s">
        <v>148</v>
      </c>
      <c r="C58" s="3233">
        <v>21460</v>
      </c>
      <c r="D58" s="3233">
        <v>20920</v>
      </c>
      <c r="E58" s="3233">
        <v>23410</v>
      </c>
      <c r="F58" s="3233">
        <v>5100</v>
      </c>
      <c r="G58" s="3233">
        <v>14200</v>
      </c>
      <c r="N58" s="3233" t="s">
        <v>3054</v>
      </c>
    </row>
    <row r="59" spans="1:17" ht="14.25" customHeight="1">
      <c r="A59" s="3233" t="s">
        <v>110</v>
      </c>
      <c r="B59" s="3233" t="s">
        <v>157</v>
      </c>
      <c r="C59" s="3233">
        <v>21000</v>
      </c>
      <c r="D59" s="3233">
        <v>21550</v>
      </c>
      <c r="E59" s="3233">
        <v>21150</v>
      </c>
      <c r="F59" s="3233">
        <v>5250</v>
      </c>
      <c r="G59" s="3233">
        <v>14630</v>
      </c>
      <c r="N59" s="3233" t="s">
        <v>3055</v>
      </c>
    </row>
    <row r="60" spans="1:17" ht="14.25" customHeight="1">
      <c r="A60" s="3233" t="s">
        <v>110</v>
      </c>
      <c r="B60" s="3233" t="s">
        <v>164</v>
      </c>
      <c r="C60" s="3233">
        <v>21640</v>
      </c>
      <c r="D60" s="3233">
        <v>21260</v>
      </c>
      <c r="E60" s="3233">
        <v>24040</v>
      </c>
      <c r="F60" s="3233">
        <v>4470</v>
      </c>
      <c r="G60" s="3233">
        <v>14430</v>
      </c>
      <c r="N60" s="3233" t="s">
        <v>3056</v>
      </c>
    </row>
    <row r="61" spans="1:17" ht="14.25" customHeight="1">
      <c r="A61" s="3233" t="s">
        <v>110</v>
      </c>
      <c r="B61" s="3233" t="s">
        <v>170</v>
      </c>
      <c r="C61" s="3233">
        <v>21330</v>
      </c>
      <c r="D61" s="3233">
        <v>18640</v>
      </c>
      <c r="E61" s="3233">
        <v>21190</v>
      </c>
      <c r="F61" s="3233">
        <v>4180</v>
      </c>
      <c r="G61" s="3233">
        <v>12650</v>
      </c>
      <c r="N61" s="3233" t="s">
        <v>3057</v>
      </c>
    </row>
    <row r="62" spans="1:17" ht="14.25" customHeight="1">
      <c r="A62" s="3233" t="s">
        <v>110</v>
      </c>
      <c r="B62" s="3233" t="s">
        <v>177</v>
      </c>
      <c r="C62" s="3233">
        <v>18710</v>
      </c>
      <c r="D62" s="3233">
        <v>19400</v>
      </c>
      <c r="E62" s="3233">
        <v>23750</v>
      </c>
      <c r="F62" s="3233">
        <v>4860</v>
      </c>
      <c r="G62" s="3233">
        <v>13170</v>
      </c>
      <c r="N62" s="3233" t="s">
        <v>3058</v>
      </c>
    </row>
    <row r="63" spans="1:17" ht="14.25" customHeight="1">
      <c r="A63" s="3233" t="s">
        <v>110</v>
      </c>
      <c r="B63" s="3233" t="s">
        <v>187</v>
      </c>
      <c r="C63" s="3233">
        <v>19480</v>
      </c>
      <c r="D63" s="3233">
        <v>16830</v>
      </c>
      <c r="E63" s="3233">
        <v>21590</v>
      </c>
      <c r="F63" s="3233">
        <v>4560</v>
      </c>
      <c r="G63" s="3233">
        <v>11420</v>
      </c>
      <c r="N63" s="3233" t="s">
        <v>3059</v>
      </c>
    </row>
    <row r="64" spans="1:17" ht="14.25" customHeight="1" thickBot="1">
      <c r="A64" s="3233" t="s">
        <v>110</v>
      </c>
      <c r="B64" s="3233" t="s">
        <v>196</v>
      </c>
      <c r="C64" s="3233">
        <v>16920</v>
      </c>
      <c r="D64" s="3233">
        <v>19190</v>
      </c>
      <c r="E64" s="3233">
        <v>22200</v>
      </c>
      <c r="F64" s="3233">
        <v>4390</v>
      </c>
      <c r="G64" s="3233">
        <v>13030</v>
      </c>
      <c r="N64" s="3240" t="s">
        <v>3060</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2931</v>
      </c>
      <c r="C78" s="3233">
        <v>19820</v>
      </c>
      <c r="D78" s="3233">
        <v>19780</v>
      </c>
      <c r="E78" s="3233">
        <v>18560</v>
      </c>
      <c r="F78" s="3233"/>
      <c r="G78" s="3233">
        <v>13430</v>
      </c>
    </row>
    <row r="79" spans="1:7" s="3222" customFormat="1" ht="14.25" customHeight="1">
      <c r="A79" s="3233" t="s">
        <v>110</v>
      </c>
      <c r="B79" s="3233" t="s">
        <v>2934</v>
      </c>
      <c r="C79" s="3233">
        <v>21660</v>
      </c>
      <c r="D79" s="3233">
        <v>18000</v>
      </c>
      <c r="E79" s="3233">
        <v>22570</v>
      </c>
      <c r="F79" s="3233"/>
      <c r="G79" s="3233">
        <v>12220</v>
      </c>
    </row>
    <row r="80" spans="1:7" s="3222" customFormat="1" ht="14.25" customHeight="1">
      <c r="A80" s="3233" t="s">
        <v>110</v>
      </c>
      <c r="B80" s="3233" t="s">
        <v>2938</v>
      </c>
      <c r="C80" s="3233">
        <v>19850</v>
      </c>
      <c r="D80" s="3233"/>
      <c r="E80" s="3233">
        <v>21700</v>
      </c>
      <c r="F80" s="3233"/>
      <c r="G80" s="3233"/>
    </row>
    <row r="81" spans="1:7" s="3222" customFormat="1" ht="14.25" customHeight="1">
      <c r="A81" s="3233" t="s">
        <v>110</v>
      </c>
      <c r="B81" s="3233" t="s">
        <v>2943</v>
      </c>
      <c r="C81" s="3233">
        <v>18080</v>
      </c>
      <c r="D81" s="3233"/>
      <c r="E81" s="3233">
        <v>20900</v>
      </c>
      <c r="F81" s="3233"/>
      <c r="G81" s="3233"/>
    </row>
    <row r="82" spans="1:7" s="3222" customFormat="1" ht="14.25" customHeight="1">
      <c r="A82" s="3233" t="s">
        <v>110</v>
      </c>
      <c r="B82" s="3233" t="s">
        <v>2950</v>
      </c>
      <c r="C82" s="3233"/>
      <c r="D82" s="3233"/>
      <c r="E82" s="3233">
        <v>20840</v>
      </c>
      <c r="F82" s="3233"/>
      <c r="G82" s="3233"/>
    </row>
    <row r="83" spans="1:7" s="3222" customFormat="1" ht="14.25" customHeight="1">
      <c r="A83" s="3233" t="s">
        <v>110</v>
      </c>
      <c r="B83" s="3233" t="s">
        <v>3061</v>
      </c>
      <c r="C83" s="3233"/>
      <c r="D83" s="3233"/>
      <c r="E83" s="3233"/>
      <c r="F83" s="3233">
        <v>4770</v>
      </c>
      <c r="G83" s="3233"/>
    </row>
    <row r="84" spans="1:7" s="3222" customFormat="1" ht="14.25" customHeight="1">
      <c r="A84" s="3233" t="s">
        <v>110</v>
      </c>
      <c r="B84" s="3233" t="s">
        <v>3062</v>
      </c>
      <c r="C84" s="3233"/>
      <c r="D84" s="3233"/>
      <c r="E84" s="3233"/>
      <c r="F84" s="3233">
        <v>4600</v>
      </c>
      <c r="G84" s="3233"/>
    </row>
    <row r="85" spans="1:7" s="3222" customFormat="1" ht="14.25" customHeight="1">
      <c r="A85" s="3233" t="s">
        <v>110</v>
      </c>
      <c r="B85" s="3233" t="s">
        <v>3063</v>
      </c>
      <c r="C85" s="3233"/>
      <c r="D85" s="3233"/>
      <c r="E85" s="3233"/>
      <c r="F85" s="3233">
        <v>4680</v>
      </c>
      <c r="G85" s="3233"/>
    </row>
    <row r="86" spans="1:7" s="3222" customFormat="1" ht="14.25" customHeight="1" thickBot="1">
      <c r="A86" s="3241" t="s">
        <v>110</v>
      </c>
      <c r="B86" s="3243" t="s">
        <v>3064</v>
      </c>
      <c r="C86" s="3244">
        <v>16610</v>
      </c>
      <c r="D86" s="3244">
        <v>16540</v>
      </c>
      <c r="E86" s="3244">
        <v>18850</v>
      </c>
      <c r="F86" s="3244"/>
      <c r="G86" s="3244">
        <v>11220</v>
      </c>
    </row>
    <row r="87" spans="1:7" s="3222" customFormat="1" ht="14.25" customHeight="1">
      <c r="A87" s="3238" t="s">
        <v>303</v>
      </c>
      <c r="B87" s="3229" t="s">
        <v>3065</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2944</v>
      </c>
      <c r="C113" s="3233">
        <v>15520</v>
      </c>
      <c r="D113" s="3233">
        <v>15450</v>
      </c>
      <c r="E113" s="3233"/>
      <c r="F113" s="3233"/>
      <c r="G113" s="3246">
        <v>10210</v>
      </c>
    </row>
    <row r="114" spans="1:7" s="3222" customFormat="1" ht="14.25" customHeight="1">
      <c r="A114" s="3233" t="s">
        <v>303</v>
      </c>
      <c r="B114" s="3233" t="s">
        <v>2951</v>
      </c>
      <c r="C114" s="3233">
        <v>13110</v>
      </c>
      <c r="D114" s="3233">
        <v>13050</v>
      </c>
      <c r="E114" s="3233"/>
      <c r="F114" s="3233"/>
      <c r="G114" s="3246">
        <v>8620</v>
      </c>
    </row>
    <row r="115" spans="1:7" s="3222" customFormat="1" ht="14.25" customHeight="1">
      <c r="A115" s="3233" t="s">
        <v>303</v>
      </c>
      <c r="B115" s="3233" t="s">
        <v>2957</v>
      </c>
      <c r="C115" s="3233">
        <v>12460</v>
      </c>
      <c r="D115" s="3233">
        <v>12390</v>
      </c>
      <c r="E115" s="3233"/>
      <c r="F115" s="3233"/>
      <c r="G115" s="3246">
        <v>8190</v>
      </c>
    </row>
    <row r="116" spans="1:7" s="3222" customFormat="1" ht="14.25" customHeight="1">
      <c r="A116" s="3233" t="s">
        <v>303</v>
      </c>
      <c r="B116" s="3233" t="s">
        <v>2964</v>
      </c>
      <c r="C116" s="3233">
        <v>13580</v>
      </c>
      <c r="D116" s="3233">
        <v>13520</v>
      </c>
      <c r="E116" s="3233"/>
      <c r="F116" s="3233"/>
      <c r="G116" s="3246">
        <v>8930</v>
      </c>
    </row>
    <row r="117" spans="1:7" s="3222" customFormat="1" ht="14.25" customHeight="1">
      <c r="A117" s="3233" t="s">
        <v>303</v>
      </c>
      <c r="B117" s="3233" t="s">
        <v>2971</v>
      </c>
      <c r="C117" s="3233">
        <v>17120</v>
      </c>
      <c r="D117" s="3233">
        <v>17040</v>
      </c>
      <c r="E117" s="3233"/>
      <c r="F117" s="3233"/>
      <c r="G117" s="3246">
        <v>11260</v>
      </c>
    </row>
    <row r="118" spans="1:7" s="3222" customFormat="1" ht="14.25" customHeight="1">
      <c r="A118" s="3233" t="s">
        <v>303</v>
      </c>
      <c r="B118" s="3233" t="s">
        <v>2976</v>
      </c>
      <c r="C118" s="3233">
        <v>14860</v>
      </c>
      <c r="D118" s="3233">
        <v>14790</v>
      </c>
      <c r="E118" s="3233"/>
      <c r="F118" s="3233"/>
      <c r="G118" s="3246">
        <v>9780</v>
      </c>
    </row>
    <row r="119" spans="1:7" s="3222" customFormat="1" ht="14.25" customHeight="1">
      <c r="A119" s="3233" t="s">
        <v>303</v>
      </c>
      <c r="B119" s="3233" t="s">
        <v>2980</v>
      </c>
      <c r="C119" s="3233">
        <v>16470</v>
      </c>
      <c r="D119" s="3233">
        <v>16400</v>
      </c>
      <c r="E119" s="3233"/>
      <c r="F119" s="3233"/>
      <c r="G119" s="3246">
        <v>10840</v>
      </c>
    </row>
    <row r="120" spans="1:7" s="3222" customFormat="1" ht="14.25" customHeight="1">
      <c r="A120" s="3233" t="s">
        <v>303</v>
      </c>
      <c r="B120" s="3233" t="s">
        <v>3066</v>
      </c>
      <c r="C120" s="3233"/>
      <c r="D120" s="3233"/>
      <c r="E120" s="3233"/>
      <c r="F120" s="3233">
        <v>4160</v>
      </c>
      <c r="G120" s="3246"/>
    </row>
    <row r="121" spans="1:7" s="3222" customFormat="1" ht="14.25" customHeight="1">
      <c r="A121" s="3233" t="s">
        <v>303</v>
      </c>
      <c r="B121" s="3233" t="s">
        <v>3067</v>
      </c>
      <c r="C121" s="3233"/>
      <c r="D121" s="3233"/>
      <c r="E121" s="3233"/>
      <c r="F121" s="3233">
        <v>3880</v>
      </c>
      <c r="G121" s="3246"/>
    </row>
    <row r="122" spans="1:7" s="3222" customFormat="1" ht="14.25" customHeight="1">
      <c r="A122" s="3233" t="s">
        <v>303</v>
      </c>
      <c r="B122" s="3233" t="s">
        <v>3068</v>
      </c>
      <c r="C122" s="3233">
        <v>13750</v>
      </c>
      <c r="D122" s="3233">
        <v>13680</v>
      </c>
      <c r="E122" s="3233">
        <v>16460</v>
      </c>
      <c r="F122" s="3233">
        <v>2880</v>
      </c>
      <c r="G122" s="3246">
        <v>9040</v>
      </c>
    </row>
    <row r="123" spans="1:7" s="3222" customFormat="1" ht="14.25" customHeight="1">
      <c r="A123" s="3233" t="s">
        <v>303</v>
      </c>
      <c r="B123" s="3233" t="s">
        <v>2999</v>
      </c>
      <c r="C123" s="3233">
        <v>13590</v>
      </c>
      <c r="D123" s="3233">
        <v>13520</v>
      </c>
      <c r="E123" s="3233">
        <v>16290</v>
      </c>
      <c r="F123" s="3233">
        <v>2790</v>
      </c>
      <c r="G123" s="3246">
        <v>8930</v>
      </c>
    </row>
    <row r="124" spans="1:7" s="3222" customFormat="1" ht="14.25" customHeight="1">
      <c r="A124" s="3233" t="s">
        <v>303</v>
      </c>
      <c r="B124" s="3233" t="s">
        <v>3004</v>
      </c>
      <c r="C124" s="3233">
        <v>13400</v>
      </c>
      <c r="D124" s="3233">
        <v>13320</v>
      </c>
      <c r="E124" s="3233">
        <v>16100</v>
      </c>
      <c r="F124" s="3233">
        <v>2320</v>
      </c>
      <c r="G124" s="3246">
        <v>8800</v>
      </c>
    </row>
    <row r="125" spans="1:7" s="3222" customFormat="1" ht="14.25" customHeight="1">
      <c r="A125" s="3233" t="s">
        <v>303</v>
      </c>
      <c r="B125" s="3233" t="s">
        <v>3009</v>
      </c>
      <c r="C125" s="3233">
        <v>12860</v>
      </c>
      <c r="D125" s="3233">
        <v>12790</v>
      </c>
      <c r="E125" s="3233">
        <v>15370</v>
      </c>
      <c r="F125" s="3233">
        <v>2280</v>
      </c>
      <c r="G125" s="3246">
        <v>8450</v>
      </c>
    </row>
    <row r="126" spans="1:7" s="3222" customFormat="1" ht="14.25" customHeight="1" thickBot="1">
      <c r="A126" s="3247" t="s">
        <v>303</v>
      </c>
      <c r="B126" s="3240" t="s">
        <v>3014</v>
      </c>
      <c r="C126" s="3240">
        <v>12960</v>
      </c>
      <c r="D126" s="3240">
        <v>12890</v>
      </c>
      <c r="E126" s="3240">
        <v>15530</v>
      </c>
      <c r="F126" s="3240">
        <v>2910</v>
      </c>
      <c r="G126" s="3248">
        <v>8520</v>
      </c>
    </row>
    <row r="127" spans="1:7" s="3222" customFormat="1" ht="14.25" customHeight="1">
      <c r="A127" s="3238" t="s">
        <v>29</v>
      </c>
      <c r="B127" s="3229" t="s">
        <v>3069</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3070</v>
      </c>
      <c r="C148" s="3233">
        <v>10370</v>
      </c>
      <c r="D148" s="3233">
        <v>10310</v>
      </c>
      <c r="E148" s="3233">
        <v>12970</v>
      </c>
      <c r="F148" s="3233"/>
      <c r="G148" s="3233">
        <v>6630</v>
      </c>
    </row>
    <row r="149" spans="1:7" s="3222" customFormat="1" ht="14.25" customHeight="1">
      <c r="A149" s="3233" t="s">
        <v>29</v>
      </c>
      <c r="B149" s="3233" t="s">
        <v>3071</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2945</v>
      </c>
      <c r="C153" s="3233">
        <v>10880</v>
      </c>
      <c r="D153" s="3233">
        <v>10820</v>
      </c>
      <c r="E153" s="3233">
        <v>13660</v>
      </c>
      <c r="F153" s="3233">
        <v>2260</v>
      </c>
      <c r="G153" s="3233">
        <v>6970</v>
      </c>
    </row>
    <row r="154" spans="1:7" s="3222" customFormat="1" ht="14.25" customHeight="1">
      <c r="A154" s="3233" t="s">
        <v>29</v>
      </c>
      <c r="B154" s="3233" t="s">
        <v>3072</v>
      </c>
      <c r="C154" s="3233">
        <v>11220</v>
      </c>
      <c r="D154" s="3233">
        <v>11160</v>
      </c>
      <c r="E154" s="3233">
        <v>14130</v>
      </c>
      <c r="F154" s="3233">
        <v>2230</v>
      </c>
      <c r="G154" s="3233">
        <v>7180</v>
      </c>
    </row>
    <row r="155" spans="1:7" s="3222" customFormat="1" ht="14.25" customHeight="1">
      <c r="A155" s="3233" t="s">
        <v>29</v>
      </c>
      <c r="B155" s="3233" t="s">
        <v>2958</v>
      </c>
      <c r="C155" s="3233">
        <v>10430</v>
      </c>
      <c r="D155" s="3233">
        <v>10380</v>
      </c>
      <c r="E155" s="3233">
        <v>13140</v>
      </c>
      <c r="F155" s="3233">
        <v>2080</v>
      </c>
      <c r="G155" s="3233">
        <v>6650</v>
      </c>
    </row>
    <row r="156" spans="1:7" s="3222" customFormat="1" ht="14.25" customHeight="1">
      <c r="A156" s="3233" t="s">
        <v>29</v>
      </c>
      <c r="B156" s="3233" t="s">
        <v>3073</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3074</v>
      </c>
      <c r="C160" s="3233">
        <v>11180</v>
      </c>
      <c r="D160" s="3233">
        <v>11140</v>
      </c>
      <c r="E160" s="3233">
        <v>14050</v>
      </c>
      <c r="F160" s="3233">
        <v>2270</v>
      </c>
      <c r="G160" s="3233">
        <v>7170</v>
      </c>
    </row>
    <row r="161" spans="1:7" s="3222" customFormat="1" ht="14.25" customHeight="1">
      <c r="A161" s="3233" t="s">
        <v>29</v>
      </c>
      <c r="B161" s="3233" t="s">
        <v>2990</v>
      </c>
      <c r="C161" s="3233">
        <v>11160</v>
      </c>
      <c r="D161" s="3233">
        <v>11120</v>
      </c>
      <c r="E161" s="3233">
        <v>14020</v>
      </c>
      <c r="F161" s="3233">
        <v>2150</v>
      </c>
      <c r="G161" s="3233">
        <v>7160</v>
      </c>
    </row>
    <row r="162" spans="1:7" s="3222" customFormat="1" ht="14.25" customHeight="1">
      <c r="A162" s="3233" t="s">
        <v>29</v>
      </c>
      <c r="B162" s="3233" t="s">
        <v>2995</v>
      </c>
      <c r="C162" s="3233">
        <v>9620</v>
      </c>
      <c r="D162" s="3233">
        <v>9570</v>
      </c>
      <c r="E162" s="3233">
        <v>12320</v>
      </c>
      <c r="F162" s="3233">
        <v>2010</v>
      </c>
      <c r="G162" s="3233">
        <v>6160</v>
      </c>
    </row>
    <row r="163" spans="1:7" s="3222" customFormat="1" ht="14.25" customHeight="1">
      <c r="A163" s="3233" t="s">
        <v>29</v>
      </c>
      <c r="B163" s="3233" t="s">
        <v>3000</v>
      </c>
      <c r="C163" s="3233">
        <v>9320</v>
      </c>
      <c r="D163" s="3233">
        <v>9270</v>
      </c>
      <c r="E163" s="3233">
        <v>11790</v>
      </c>
      <c r="F163" s="3233">
        <v>1920</v>
      </c>
      <c r="G163" s="3233">
        <v>5960</v>
      </c>
    </row>
    <row r="164" spans="1:7" s="3222" customFormat="1" ht="14.25" customHeight="1">
      <c r="A164" s="3233" t="s">
        <v>29</v>
      </c>
      <c r="B164" s="3233" t="s">
        <v>3005</v>
      </c>
      <c r="C164" s="3233"/>
      <c r="D164" s="3233"/>
      <c r="E164" s="3233"/>
      <c r="F164" s="3233">
        <v>1980</v>
      </c>
      <c r="G164" s="3233"/>
    </row>
    <row r="165" spans="1:7" s="3222" customFormat="1" ht="14.25" customHeight="1">
      <c r="A165" s="3233" t="s">
        <v>29</v>
      </c>
      <c r="B165" s="3233" t="s">
        <v>3075</v>
      </c>
      <c r="C165" s="3233">
        <v>11060</v>
      </c>
      <c r="D165" s="3233">
        <v>11030</v>
      </c>
      <c r="E165" s="3233">
        <v>13850</v>
      </c>
      <c r="F165" s="3233">
        <v>2170</v>
      </c>
      <c r="G165" s="3233">
        <v>7090</v>
      </c>
    </row>
    <row r="166" spans="1:7" s="3222" customFormat="1" ht="14.25" customHeight="1">
      <c r="A166" s="3233" t="s">
        <v>29</v>
      </c>
      <c r="B166" s="3233" t="s">
        <v>3015</v>
      </c>
      <c r="C166" s="3233">
        <v>11050</v>
      </c>
      <c r="D166" s="3233">
        <v>11010</v>
      </c>
      <c r="E166" s="3233">
        <v>13920</v>
      </c>
      <c r="F166" s="3233">
        <v>2140</v>
      </c>
      <c r="G166" s="3233">
        <v>7080</v>
      </c>
    </row>
    <row r="167" spans="1:7" s="3222" customFormat="1" ht="14.25" customHeight="1">
      <c r="A167" s="3233" t="s">
        <v>29</v>
      </c>
      <c r="B167" s="3233" t="s">
        <v>3019</v>
      </c>
      <c r="C167" s="3233">
        <v>10930</v>
      </c>
      <c r="D167" s="3233">
        <v>10890</v>
      </c>
      <c r="E167" s="3233">
        <v>13790</v>
      </c>
      <c r="F167" s="3233">
        <v>2010</v>
      </c>
      <c r="G167" s="3233">
        <v>7000</v>
      </c>
    </row>
    <row r="168" spans="1:7" s="3222" customFormat="1" ht="14.25" customHeight="1">
      <c r="A168" s="3233" t="s">
        <v>29</v>
      </c>
      <c r="B168" s="3233" t="s">
        <v>3024</v>
      </c>
      <c r="C168" s="3233">
        <v>9420</v>
      </c>
      <c r="D168" s="3233">
        <v>9380</v>
      </c>
      <c r="E168" s="3233">
        <v>11970</v>
      </c>
      <c r="F168" s="3233"/>
      <c r="G168" s="3233">
        <v>6040</v>
      </c>
    </row>
    <row r="169" spans="1:7" s="3222" customFormat="1" ht="14.25" customHeight="1">
      <c r="A169" s="3233" t="s">
        <v>29</v>
      </c>
      <c r="B169" s="3233" t="s">
        <v>3076</v>
      </c>
      <c r="C169" s="3233"/>
      <c r="D169" s="3233"/>
      <c r="E169" s="3233"/>
      <c r="F169" s="3233">
        <v>2880</v>
      </c>
      <c r="G169" s="3233"/>
    </row>
    <row r="170" spans="1:7" s="3222" customFormat="1" ht="14.25" customHeight="1">
      <c r="A170" s="3233" t="s">
        <v>29</v>
      </c>
      <c r="B170" s="3233" t="s">
        <v>3032</v>
      </c>
      <c r="C170" s="3233"/>
      <c r="D170" s="3233"/>
      <c r="E170" s="3233"/>
      <c r="F170" s="3233">
        <v>2880</v>
      </c>
      <c r="G170" s="3233"/>
    </row>
    <row r="171" spans="1:7" s="3222" customFormat="1" ht="14.25" customHeight="1">
      <c r="A171" s="3233" t="s">
        <v>29</v>
      </c>
      <c r="B171" s="3233" t="s">
        <v>3035</v>
      </c>
      <c r="C171" s="3233"/>
      <c r="D171" s="3233"/>
      <c r="E171" s="3233"/>
      <c r="F171" s="3233">
        <v>2880</v>
      </c>
      <c r="G171" s="3233"/>
    </row>
    <row r="172" spans="1:7" s="3222" customFormat="1" ht="14.25" customHeight="1">
      <c r="A172" s="3233" t="s">
        <v>29</v>
      </c>
      <c r="B172" s="3233" t="s">
        <v>3037</v>
      </c>
      <c r="C172" s="3233"/>
      <c r="D172" s="3233"/>
      <c r="E172" s="3233"/>
      <c r="F172" s="3233">
        <v>2880</v>
      </c>
      <c r="G172" s="3233"/>
    </row>
    <row r="173" spans="1:7" s="3222" customFormat="1" ht="14.25" customHeight="1">
      <c r="A173" s="3233" t="s">
        <v>29</v>
      </c>
      <c r="B173" s="3233" t="s">
        <v>3039</v>
      </c>
      <c r="C173" s="3233"/>
      <c r="D173" s="3233"/>
      <c r="E173" s="3233"/>
      <c r="F173" s="3233">
        <v>2150</v>
      </c>
      <c r="G173" s="3233"/>
    </row>
    <row r="174" spans="1:7" s="3222" customFormat="1" ht="14.25" customHeight="1">
      <c r="A174" s="3233" t="s">
        <v>29</v>
      </c>
      <c r="B174" s="3233" t="s">
        <v>3041</v>
      </c>
      <c r="C174" s="3233"/>
      <c r="D174" s="3233"/>
      <c r="E174" s="3233"/>
      <c r="F174" s="3233">
        <v>2030</v>
      </c>
      <c r="G174" s="3233"/>
    </row>
    <row r="175" spans="1:7" s="3222" customFormat="1" ht="14.25" customHeight="1">
      <c r="A175" s="3233" t="s">
        <v>29</v>
      </c>
      <c r="B175" s="3233" t="s">
        <v>3043</v>
      </c>
      <c r="C175" s="3233"/>
      <c r="D175" s="3233"/>
      <c r="E175" s="3233"/>
      <c r="F175" s="3233">
        <v>2780</v>
      </c>
      <c r="G175" s="3233"/>
    </row>
    <row r="176" spans="1:7" s="3222" customFormat="1" ht="14.25" customHeight="1">
      <c r="A176" s="3233" t="s">
        <v>29</v>
      </c>
      <c r="B176" s="3233" t="s">
        <v>3045</v>
      </c>
      <c r="C176" s="3233"/>
      <c r="D176" s="3233"/>
      <c r="E176" s="3233"/>
      <c r="F176" s="3233">
        <v>2780</v>
      </c>
      <c r="G176" s="3233"/>
    </row>
    <row r="177" spans="1:7" s="3222" customFormat="1" ht="14.25" customHeight="1">
      <c r="A177" s="3233" t="s">
        <v>29</v>
      </c>
      <c r="B177" s="3233" t="s">
        <v>3077</v>
      </c>
      <c r="C177" s="3233"/>
      <c r="D177" s="3233"/>
      <c r="E177" s="3233"/>
      <c r="F177" s="3233">
        <v>2780</v>
      </c>
      <c r="G177" s="3233"/>
    </row>
    <row r="178" spans="1:7" s="3222" customFormat="1" ht="14.25" customHeight="1">
      <c r="A178" s="3233" t="s">
        <v>29</v>
      </c>
      <c r="B178" s="3233" t="s">
        <v>3078</v>
      </c>
      <c r="C178" s="3233"/>
      <c r="D178" s="3233"/>
      <c r="E178" s="3233"/>
      <c r="F178" s="3233">
        <v>2060</v>
      </c>
      <c r="G178" s="3233"/>
    </row>
    <row r="179" spans="1:7" s="3222" customFormat="1" ht="14.25" customHeight="1">
      <c r="A179" s="3233" t="s">
        <v>29</v>
      </c>
      <c r="B179" s="3233" t="s">
        <v>3079</v>
      </c>
      <c r="C179" s="3233"/>
      <c r="D179" s="3233"/>
      <c r="E179" s="3233"/>
      <c r="F179" s="3233">
        <v>2120</v>
      </c>
      <c r="G179" s="3233"/>
    </row>
    <row r="180" spans="1:7" s="3222" customFormat="1" ht="14.25" customHeight="1">
      <c r="A180" s="3233" t="s">
        <v>29</v>
      </c>
      <c r="B180" s="3233" t="s">
        <v>3051</v>
      </c>
      <c r="C180" s="3233"/>
      <c r="D180" s="3233"/>
      <c r="E180" s="3233"/>
      <c r="F180" s="3233">
        <v>2340</v>
      </c>
      <c r="G180" s="3233"/>
    </row>
    <row r="181" spans="1:7" s="3222" customFormat="1" ht="14.25" customHeight="1">
      <c r="A181" s="3233" t="s">
        <v>29</v>
      </c>
      <c r="B181" s="3233" t="s">
        <v>3052</v>
      </c>
      <c r="C181" s="3233"/>
      <c r="D181" s="3233"/>
      <c r="E181" s="3233"/>
      <c r="F181" s="3233">
        <v>2340</v>
      </c>
      <c r="G181" s="3233"/>
    </row>
    <row r="182" spans="1:7" s="3222" customFormat="1" ht="14.25" customHeight="1">
      <c r="A182" s="3233" t="s">
        <v>29</v>
      </c>
      <c r="B182" s="3233" t="s">
        <v>3053</v>
      </c>
      <c r="C182" s="3233"/>
      <c r="D182" s="3233"/>
      <c r="E182" s="3233"/>
      <c r="F182" s="3233">
        <v>2340</v>
      </c>
      <c r="G182" s="3233"/>
    </row>
    <row r="183" spans="1:7" s="3222" customFormat="1" ht="14.25" customHeight="1">
      <c r="A183" s="3233" t="s">
        <v>29</v>
      </c>
      <c r="B183" s="3233" t="s">
        <v>3054</v>
      </c>
      <c r="C183" s="3233"/>
      <c r="D183" s="3233"/>
      <c r="E183" s="3233"/>
      <c r="F183" s="3233">
        <v>2340</v>
      </c>
      <c r="G183" s="3233"/>
    </row>
    <row r="184" spans="1:7" s="3222" customFormat="1" ht="14.25" customHeight="1">
      <c r="A184" s="3233" t="s">
        <v>29</v>
      </c>
      <c r="B184" s="3233" t="s">
        <v>3055</v>
      </c>
      <c r="C184" s="3233"/>
      <c r="D184" s="3233"/>
      <c r="E184" s="3233"/>
      <c r="F184" s="3233">
        <v>2340</v>
      </c>
      <c r="G184" s="3233"/>
    </row>
    <row r="185" spans="1:7" s="3222" customFormat="1" ht="14.25" customHeight="1">
      <c r="A185" s="3233" t="s">
        <v>29</v>
      </c>
      <c r="B185" s="3233" t="s">
        <v>3056</v>
      </c>
      <c r="C185" s="3233"/>
      <c r="D185" s="3233"/>
      <c r="E185" s="3233"/>
      <c r="F185" s="3233">
        <v>2530</v>
      </c>
      <c r="G185" s="3233"/>
    </row>
    <row r="186" spans="1:7" s="3222" customFormat="1" ht="14.25" customHeight="1">
      <c r="A186" s="3233" t="s">
        <v>29</v>
      </c>
      <c r="B186" s="3233" t="s">
        <v>3057</v>
      </c>
      <c r="C186" s="3233"/>
      <c r="D186" s="3233"/>
      <c r="E186" s="3233"/>
      <c r="F186" s="3233">
        <v>2550</v>
      </c>
      <c r="G186" s="3233"/>
    </row>
    <row r="187" spans="1:7" s="3222" customFormat="1" ht="14.25" customHeight="1">
      <c r="A187" s="3233" t="s">
        <v>29</v>
      </c>
      <c r="B187" s="3233" t="s">
        <v>3058</v>
      </c>
      <c r="C187" s="3233"/>
      <c r="D187" s="3233"/>
      <c r="E187" s="3233"/>
      <c r="F187" s="3233">
        <v>2070</v>
      </c>
      <c r="G187" s="3233"/>
    </row>
    <row r="188" spans="1:7" s="3222" customFormat="1" ht="14.25" customHeight="1">
      <c r="A188" s="3233" t="s">
        <v>29</v>
      </c>
      <c r="B188" s="3233" t="s">
        <v>3059</v>
      </c>
      <c r="C188" s="3233"/>
      <c r="D188" s="3233"/>
      <c r="E188" s="3233"/>
      <c r="F188" s="3233">
        <v>2340</v>
      </c>
      <c r="G188" s="3233"/>
    </row>
    <row r="189" spans="1:7" s="3222" customFormat="1" ht="14.25" customHeight="1" thickBot="1">
      <c r="A189" s="3241" t="s">
        <v>29</v>
      </c>
      <c r="B189" s="3244" t="s">
        <v>3060</v>
      </c>
      <c r="C189" s="3244"/>
      <c r="D189" s="3244"/>
      <c r="E189" s="3244"/>
      <c r="F189" s="3244">
        <v>2050</v>
      </c>
      <c r="G189" s="3244"/>
    </row>
    <row r="190" spans="1:7" s="3222" customFormat="1" ht="14.25" customHeight="1">
      <c r="A190" s="3238" t="s">
        <v>304</v>
      </c>
      <c r="B190" s="3229" t="s">
        <v>3080</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3081</v>
      </c>
      <c r="C199" s="3233">
        <v>8690</v>
      </c>
      <c r="D199" s="3233">
        <v>8630</v>
      </c>
      <c r="E199" s="3233">
        <v>11350</v>
      </c>
      <c r="F199" s="3233">
        <v>1600</v>
      </c>
      <c r="G199" s="3246">
        <v>5450</v>
      </c>
    </row>
    <row r="200" spans="1:7" s="3222" customFormat="1" ht="14.25" customHeight="1">
      <c r="A200" s="3233" t="s">
        <v>304</v>
      </c>
      <c r="B200" s="3233" t="s">
        <v>2892</v>
      </c>
      <c r="C200" s="3233"/>
      <c r="D200" s="3233"/>
      <c r="E200" s="3233"/>
      <c r="F200" s="3233">
        <v>1510</v>
      </c>
      <c r="G200" s="3246"/>
    </row>
    <row r="201" spans="1:7" s="3222" customFormat="1" ht="14.25" customHeight="1">
      <c r="A201" s="3233" t="s">
        <v>304</v>
      </c>
      <c r="B201" s="3233" t="s">
        <v>3082</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3083</v>
      </c>
      <c r="C203" s="3233">
        <v>8130</v>
      </c>
      <c r="D203" s="3233">
        <v>8070</v>
      </c>
      <c r="E203" s="3233">
        <v>10820</v>
      </c>
      <c r="F203" s="3233">
        <v>1690</v>
      </c>
      <c r="G203" s="3246">
        <v>5100</v>
      </c>
    </row>
    <row r="204" spans="1:7" s="3222" customFormat="1" ht="14.25" customHeight="1">
      <c r="A204" s="3233" t="s">
        <v>304</v>
      </c>
      <c r="B204" s="3233" t="s">
        <v>2903</v>
      </c>
      <c r="C204" s="3233">
        <v>8350</v>
      </c>
      <c r="D204" s="3233">
        <v>8290</v>
      </c>
      <c r="E204" s="3233">
        <v>11080</v>
      </c>
      <c r="F204" s="3233">
        <v>1450</v>
      </c>
      <c r="G204" s="3246">
        <v>5240</v>
      </c>
    </row>
    <row r="205" spans="1:7" s="3222" customFormat="1" ht="14.25" customHeight="1">
      <c r="A205" s="3233" t="s">
        <v>304</v>
      </c>
      <c r="B205" s="3233" t="s">
        <v>2905</v>
      </c>
      <c r="C205" s="3233">
        <v>7190</v>
      </c>
      <c r="D205" s="3233">
        <v>7130</v>
      </c>
      <c r="E205" s="3233">
        <v>9490</v>
      </c>
      <c r="F205" s="3233">
        <v>1470</v>
      </c>
      <c r="G205" s="3246">
        <v>4510</v>
      </c>
    </row>
    <row r="206" spans="1:7" s="3222" customFormat="1" ht="14.25" customHeight="1">
      <c r="A206" s="3233" t="s">
        <v>304</v>
      </c>
      <c r="B206" s="3233" t="s">
        <v>2908</v>
      </c>
      <c r="C206" s="3233">
        <v>7000</v>
      </c>
      <c r="D206" s="3233">
        <v>6950</v>
      </c>
      <c r="E206" s="3233">
        <v>9170</v>
      </c>
      <c r="F206" s="3233">
        <v>1400</v>
      </c>
      <c r="G206" s="3246">
        <v>4380</v>
      </c>
    </row>
    <row r="207" spans="1:7" s="3222" customFormat="1" ht="14.25" customHeight="1">
      <c r="A207" s="3233" t="s">
        <v>304</v>
      </c>
      <c r="B207" s="3233" t="s">
        <v>2910</v>
      </c>
      <c r="C207" s="3233">
        <v>6950</v>
      </c>
      <c r="D207" s="3233">
        <v>6900</v>
      </c>
      <c r="E207" s="3233">
        <v>9110</v>
      </c>
      <c r="F207" s="3233">
        <v>1790</v>
      </c>
      <c r="G207" s="3246">
        <v>4360</v>
      </c>
    </row>
    <row r="208" spans="1:7" s="3222" customFormat="1" ht="14.25" customHeight="1">
      <c r="A208" s="3233" t="s">
        <v>304</v>
      </c>
      <c r="B208" s="3233" t="s">
        <v>3084</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2920</v>
      </c>
      <c r="C210" s="3233">
        <v>8710</v>
      </c>
      <c r="D210" s="3233">
        <v>8660</v>
      </c>
      <c r="E210" s="3233">
        <v>11440</v>
      </c>
      <c r="F210" s="3233">
        <v>1740</v>
      </c>
      <c r="G210" s="3246">
        <v>5470</v>
      </c>
    </row>
    <row r="211" spans="1:7" s="3222" customFormat="1" ht="14.25" customHeight="1">
      <c r="A211" s="3233" t="s">
        <v>304</v>
      </c>
      <c r="B211" s="3233" t="s">
        <v>3085</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3086</v>
      </c>
      <c r="C214" s="3233">
        <v>8090</v>
      </c>
      <c r="D214" s="3233">
        <v>8030</v>
      </c>
      <c r="E214" s="3233">
        <v>10780</v>
      </c>
      <c r="F214" s="3233">
        <v>1570</v>
      </c>
      <c r="G214" s="3246">
        <v>5070</v>
      </c>
    </row>
    <row r="215" spans="1:7" s="3222" customFormat="1" ht="14.25" customHeight="1">
      <c r="A215" s="3233" t="s">
        <v>304</v>
      </c>
      <c r="B215" s="3233" t="s">
        <v>3087</v>
      </c>
      <c r="C215" s="3233">
        <v>7950</v>
      </c>
      <c r="D215" s="3233">
        <v>7900</v>
      </c>
      <c r="E215" s="3233">
        <v>10560</v>
      </c>
      <c r="F215" s="3233">
        <v>1630</v>
      </c>
      <c r="G215" s="3246">
        <v>4990</v>
      </c>
    </row>
    <row r="216" spans="1:7" s="3222" customFormat="1" ht="14.25" customHeight="1">
      <c r="A216" s="3233" t="s">
        <v>304</v>
      </c>
      <c r="B216" s="3233" t="s">
        <v>3088</v>
      </c>
      <c r="C216" s="3233">
        <v>8490</v>
      </c>
      <c r="D216" s="3233">
        <v>8440</v>
      </c>
      <c r="E216" s="3233">
        <v>11260</v>
      </c>
      <c r="F216" s="3233">
        <v>1690</v>
      </c>
      <c r="G216" s="3246">
        <v>5330</v>
      </c>
    </row>
    <row r="217" spans="1:7" s="3222" customFormat="1" ht="14.25" customHeight="1">
      <c r="A217" s="3233" t="s">
        <v>304</v>
      </c>
      <c r="B217" s="3233" t="s">
        <v>2953</v>
      </c>
      <c r="C217" s="3233">
        <v>8200</v>
      </c>
      <c r="D217" s="3233">
        <v>8150</v>
      </c>
      <c r="E217" s="3233">
        <v>10910</v>
      </c>
      <c r="F217" s="3233">
        <v>1670</v>
      </c>
      <c r="G217" s="3246">
        <v>5150</v>
      </c>
    </row>
    <row r="218" spans="1:7" s="3222" customFormat="1" ht="14.25" customHeight="1">
      <c r="A218" s="3233" t="s">
        <v>304</v>
      </c>
      <c r="B218" s="3233" t="s">
        <v>3089</v>
      </c>
      <c r="C218" s="3233"/>
      <c r="D218" s="3233"/>
      <c r="E218" s="3233"/>
      <c r="F218" s="3233">
        <v>2040</v>
      </c>
      <c r="G218" s="3246"/>
    </row>
    <row r="219" spans="1:7" s="3222" customFormat="1" ht="14.25" customHeight="1">
      <c r="A219" s="3233" t="s">
        <v>304</v>
      </c>
      <c r="B219" s="3233" t="s">
        <v>3090</v>
      </c>
      <c r="C219" s="3233"/>
      <c r="D219" s="3233"/>
      <c r="E219" s="3233"/>
      <c r="F219" s="3233">
        <v>2040</v>
      </c>
      <c r="G219" s="3246"/>
    </row>
    <row r="220" spans="1:7" s="3222" customFormat="1" ht="14.25" customHeight="1">
      <c r="A220" s="3233" t="s">
        <v>304</v>
      </c>
      <c r="B220" s="3233" t="s">
        <v>3091</v>
      </c>
      <c r="C220" s="3233"/>
      <c r="D220" s="3233"/>
      <c r="E220" s="3233"/>
      <c r="F220" s="3233">
        <v>2040</v>
      </c>
      <c r="G220" s="3246"/>
    </row>
    <row r="221" spans="1:7" s="3222" customFormat="1" ht="14.25" customHeight="1">
      <c r="A221" s="3233" t="s">
        <v>304</v>
      </c>
      <c r="B221" s="3233" t="s">
        <v>3092</v>
      </c>
      <c r="C221" s="3233"/>
      <c r="D221" s="3233"/>
      <c r="E221" s="3233"/>
      <c r="F221" s="3233">
        <v>2040</v>
      </c>
      <c r="G221" s="3246"/>
    </row>
    <row r="222" spans="1:7" s="3222" customFormat="1" ht="14.25" customHeight="1">
      <c r="A222" s="3233" t="s">
        <v>304</v>
      </c>
      <c r="B222" s="3233" t="s">
        <v>3093</v>
      </c>
      <c r="C222" s="3233"/>
      <c r="D222" s="3233"/>
      <c r="E222" s="3233"/>
      <c r="F222" s="3233">
        <v>2040</v>
      </c>
      <c r="G222" s="3246"/>
    </row>
    <row r="223" spans="1:7" s="3222" customFormat="1" ht="14.25" customHeight="1">
      <c r="A223" s="3233" t="s">
        <v>304</v>
      </c>
      <c r="B223" s="3233" t="s">
        <v>3094</v>
      </c>
      <c r="C223" s="3233"/>
      <c r="D223" s="3233"/>
      <c r="E223" s="3233"/>
      <c r="F223" s="3233">
        <v>1930</v>
      </c>
      <c r="G223" s="3246"/>
    </row>
    <row r="224" spans="1:7" s="3222" customFormat="1" ht="14.25" customHeight="1">
      <c r="A224" s="3233" t="s">
        <v>304</v>
      </c>
      <c r="B224" s="3233" t="s">
        <v>3095</v>
      </c>
      <c r="C224" s="3233"/>
      <c r="D224" s="3233"/>
      <c r="E224" s="3233"/>
      <c r="F224" s="3233">
        <v>1930</v>
      </c>
      <c r="G224" s="3246"/>
    </row>
    <row r="225" spans="1:7" s="3222" customFormat="1" ht="14.25" customHeight="1">
      <c r="A225" s="3233" t="s">
        <v>304</v>
      </c>
      <c r="B225" s="3233" t="s">
        <v>3096</v>
      </c>
      <c r="C225" s="3233"/>
      <c r="D225" s="3233"/>
      <c r="E225" s="3233"/>
      <c r="F225" s="3233">
        <v>1930</v>
      </c>
      <c r="G225" s="3246"/>
    </row>
    <row r="226" spans="1:7" s="3222" customFormat="1" ht="14.25" customHeight="1">
      <c r="A226" s="3233" t="s">
        <v>304</v>
      </c>
      <c r="B226" s="3233" t="s">
        <v>3097</v>
      </c>
      <c r="C226" s="3233"/>
      <c r="D226" s="3233"/>
      <c r="E226" s="3233"/>
      <c r="F226" s="3233">
        <v>1700</v>
      </c>
      <c r="G226" s="3246"/>
    </row>
    <row r="227" spans="1:7" s="3222" customFormat="1" ht="14.25" customHeight="1">
      <c r="A227" s="3233" t="s">
        <v>304</v>
      </c>
      <c r="B227" s="3233" t="s">
        <v>3098</v>
      </c>
      <c r="C227" s="3233"/>
      <c r="D227" s="3233"/>
      <c r="E227" s="3233"/>
      <c r="F227" s="3233">
        <v>1520</v>
      </c>
      <c r="G227" s="3246"/>
    </row>
    <row r="228" spans="1:7" s="3222" customFormat="1" ht="14.25" customHeight="1">
      <c r="A228" s="3233" t="s">
        <v>304</v>
      </c>
      <c r="B228" s="3233" t="s">
        <v>3099</v>
      </c>
      <c r="C228" s="3233"/>
      <c r="D228" s="3233"/>
      <c r="E228" s="3233"/>
      <c r="F228" s="3233">
        <v>1520</v>
      </c>
      <c r="G228" s="3246"/>
    </row>
    <row r="229" spans="1:7" s="3222" customFormat="1" ht="14.25" customHeight="1">
      <c r="A229" s="3233" t="s">
        <v>304</v>
      </c>
      <c r="B229" s="3233" t="s">
        <v>3016</v>
      </c>
      <c r="C229" s="3233"/>
      <c r="D229" s="3233"/>
      <c r="E229" s="3233"/>
      <c r="F229" s="3233">
        <v>1520</v>
      </c>
      <c r="G229" s="3246"/>
    </row>
    <row r="230" spans="1:7" s="3222" customFormat="1" ht="14.25" customHeight="1">
      <c r="A230" s="3233" t="s">
        <v>304</v>
      </c>
      <c r="B230" s="3233" t="s">
        <v>3100</v>
      </c>
      <c r="C230" s="3233"/>
      <c r="D230" s="3233"/>
      <c r="E230" s="3233"/>
      <c r="F230" s="3233">
        <v>1820</v>
      </c>
      <c r="G230" s="3246"/>
    </row>
    <row r="231" spans="1:7" s="3222" customFormat="1" ht="14.25" customHeight="1">
      <c r="A231" s="3233" t="s">
        <v>304</v>
      </c>
      <c r="B231" s="3233" t="s">
        <v>3101</v>
      </c>
      <c r="C231" s="3233"/>
      <c r="D231" s="3233"/>
      <c r="E231" s="3233"/>
      <c r="F231" s="3233">
        <v>1760</v>
      </c>
      <c r="G231" s="3246"/>
    </row>
    <row r="232" spans="1:7" s="3222" customFormat="1" ht="14.25" customHeight="1">
      <c r="A232" s="3233" t="s">
        <v>304</v>
      </c>
      <c r="B232" s="3233" t="s">
        <v>3102</v>
      </c>
      <c r="C232" s="3233"/>
      <c r="D232" s="3233"/>
      <c r="E232" s="3233"/>
      <c r="F232" s="3233">
        <v>1840</v>
      </c>
      <c r="G232" s="3246"/>
    </row>
    <row r="233" spans="1:7" s="3222" customFormat="1" ht="14.25" customHeight="1" thickBot="1">
      <c r="A233" s="3247" t="s">
        <v>304</v>
      </c>
      <c r="B233" s="3240" t="s">
        <v>3033</v>
      </c>
      <c r="C233" s="3240"/>
      <c r="D233" s="3240"/>
      <c r="E233" s="3240"/>
      <c r="F233" s="3240">
        <v>1770</v>
      </c>
      <c r="G233" s="3248"/>
    </row>
    <row r="234" spans="1:7" s="3222" customFormat="1" ht="14.25" customHeight="1">
      <c r="A234" s="3238" t="s">
        <v>305</v>
      </c>
      <c r="B234" s="3229" t="s">
        <v>3103</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2874</v>
      </c>
      <c r="C238" s="3233">
        <v>6920</v>
      </c>
      <c r="D238" s="3233">
        <v>6890</v>
      </c>
      <c r="E238" s="3233">
        <v>8640</v>
      </c>
      <c r="F238" s="3233">
        <v>1310</v>
      </c>
      <c r="G238" s="3233">
        <v>4230</v>
      </c>
    </row>
    <row r="239" spans="1:7" s="3222" customFormat="1" ht="14.25" customHeight="1">
      <c r="A239" s="3233" t="s">
        <v>305</v>
      </c>
      <c r="B239" s="3233" t="s">
        <v>3104</v>
      </c>
      <c r="C239" s="3233">
        <v>6780</v>
      </c>
      <c r="D239" s="3233">
        <v>6750</v>
      </c>
      <c r="E239" s="3233">
        <v>8440</v>
      </c>
      <c r="F239" s="3233">
        <v>1160</v>
      </c>
      <c r="G239" s="3233">
        <v>4140</v>
      </c>
    </row>
    <row r="240" spans="1:7" s="3222" customFormat="1" ht="14.25" customHeight="1">
      <c r="A240" s="3233" t="s">
        <v>305</v>
      </c>
      <c r="B240" s="3233" t="s">
        <v>3105</v>
      </c>
      <c r="C240" s="3233">
        <v>5420</v>
      </c>
      <c r="D240" s="3233">
        <v>5380</v>
      </c>
      <c r="E240" s="3233">
        <v>6640</v>
      </c>
      <c r="F240" s="3233">
        <v>1020</v>
      </c>
      <c r="G240" s="3233">
        <v>3300</v>
      </c>
    </row>
    <row r="241" spans="1:7" s="3222" customFormat="1" ht="14.25" customHeight="1">
      <c r="A241" s="3233" t="s">
        <v>305</v>
      </c>
      <c r="B241" s="3233" t="s">
        <v>3106</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3107</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3108</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3109</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3110</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3111</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2936</v>
      </c>
      <c r="C258" s="3233">
        <v>6190</v>
      </c>
      <c r="D258" s="3233">
        <v>6160</v>
      </c>
      <c r="E258" s="3233">
        <v>7680</v>
      </c>
      <c r="F258" s="3233">
        <v>1170</v>
      </c>
      <c r="G258" s="3233">
        <v>3780</v>
      </c>
    </row>
    <row r="259" spans="1:7" s="3222" customFormat="1" ht="14.25" customHeight="1">
      <c r="A259" s="3233" t="s">
        <v>305</v>
      </c>
      <c r="B259" s="3233" t="s">
        <v>3112</v>
      </c>
      <c r="C259" s="3233">
        <v>7610</v>
      </c>
      <c r="D259" s="3233">
        <v>7570</v>
      </c>
      <c r="E259" s="3233">
        <v>9350</v>
      </c>
      <c r="F259" s="3233">
        <v>1350</v>
      </c>
      <c r="G259" s="3233">
        <v>4650</v>
      </c>
    </row>
    <row r="260" spans="1:7" s="3222" customFormat="1" ht="14.25" customHeight="1">
      <c r="A260" s="3233" t="s">
        <v>305</v>
      </c>
      <c r="B260" s="3233" t="s">
        <v>3113</v>
      </c>
      <c r="C260" s="3233">
        <v>6920</v>
      </c>
      <c r="D260" s="3233">
        <v>6880</v>
      </c>
      <c r="E260" s="3233">
        <v>8380</v>
      </c>
      <c r="F260" s="3233">
        <v>1160</v>
      </c>
      <c r="G260" s="3233">
        <v>4220</v>
      </c>
    </row>
    <row r="261" spans="1:7" s="3222" customFormat="1" ht="14.25" customHeight="1">
      <c r="A261" s="3233" t="s">
        <v>305</v>
      </c>
      <c r="B261" s="3233" t="s">
        <v>3114</v>
      </c>
      <c r="C261" s="3233">
        <v>6850</v>
      </c>
      <c r="D261" s="3233">
        <v>6810</v>
      </c>
      <c r="E261" s="3233">
        <v>8290</v>
      </c>
      <c r="F261" s="3233">
        <v>1130</v>
      </c>
      <c r="G261" s="3233">
        <v>4180</v>
      </c>
    </row>
    <row r="262" spans="1:7" s="3222" customFormat="1" ht="14.25" customHeight="1">
      <c r="A262" s="3233" t="s">
        <v>305</v>
      </c>
      <c r="B262" s="3233" t="s">
        <v>3115</v>
      </c>
      <c r="C262" s="3233">
        <v>5860</v>
      </c>
      <c r="D262" s="3233">
        <v>5820</v>
      </c>
      <c r="E262" s="3233">
        <v>7640</v>
      </c>
      <c r="F262" s="3233">
        <v>1070</v>
      </c>
      <c r="G262" s="3233">
        <v>3570</v>
      </c>
    </row>
    <row r="263" spans="1:7" s="3222" customFormat="1" ht="14.25" customHeight="1">
      <c r="A263" s="3233" t="s">
        <v>305</v>
      </c>
      <c r="B263" s="3233" t="s">
        <v>3116</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3117</v>
      </c>
      <c r="C265" s="3233"/>
      <c r="D265" s="3233"/>
      <c r="E265" s="3233"/>
      <c r="F265" s="3233">
        <v>1500</v>
      </c>
      <c r="G265" s="3233"/>
    </row>
    <row r="266" spans="1:7" s="3222" customFormat="1" ht="14.25" customHeight="1">
      <c r="A266" s="3233" t="s">
        <v>305</v>
      </c>
      <c r="B266" s="3233" t="s">
        <v>3118</v>
      </c>
      <c r="C266" s="3233"/>
      <c r="D266" s="3233"/>
      <c r="E266" s="3233"/>
      <c r="F266" s="3233">
        <v>1500</v>
      </c>
      <c r="G266" s="3233"/>
    </row>
    <row r="267" spans="1:7" s="3222" customFormat="1" ht="14.25" customHeight="1">
      <c r="A267" s="3233" t="s">
        <v>305</v>
      </c>
      <c r="B267" s="3233" t="s">
        <v>3119</v>
      </c>
      <c r="C267" s="3233"/>
      <c r="D267" s="3233"/>
      <c r="E267" s="3233"/>
      <c r="F267" s="3233">
        <v>1500</v>
      </c>
      <c r="G267" s="3233"/>
    </row>
    <row r="268" spans="1:7" s="3222" customFormat="1" ht="14.25" customHeight="1">
      <c r="A268" s="3233" t="s">
        <v>305</v>
      </c>
      <c r="B268" s="3233" t="s">
        <v>3120</v>
      </c>
      <c r="C268" s="3233"/>
      <c r="D268" s="3233"/>
      <c r="E268" s="3233"/>
      <c r="F268" s="3233">
        <v>1290</v>
      </c>
      <c r="G268" s="3233"/>
    </row>
    <row r="269" spans="1:7" s="3222" customFormat="1" ht="14.25" customHeight="1">
      <c r="A269" s="3233" t="s">
        <v>305</v>
      </c>
      <c r="B269" s="3233" t="s">
        <v>3121</v>
      </c>
      <c r="C269" s="3233"/>
      <c r="D269" s="3233"/>
      <c r="E269" s="3233"/>
      <c r="F269" s="3233">
        <v>1150</v>
      </c>
      <c r="G269" s="3233"/>
    </row>
    <row r="270" spans="1:7" s="3222" customFormat="1" ht="14.25" customHeight="1">
      <c r="A270" s="3233" t="s">
        <v>305</v>
      </c>
      <c r="B270" s="3233" t="s">
        <v>3122</v>
      </c>
      <c r="C270" s="3233"/>
      <c r="D270" s="3233"/>
      <c r="E270" s="3233"/>
      <c r="F270" s="3233">
        <v>1380</v>
      </c>
      <c r="G270" s="3233"/>
    </row>
    <row r="271" spans="1:7" s="3222" customFormat="1" ht="14.25" customHeight="1">
      <c r="A271" s="3233" t="s">
        <v>305</v>
      </c>
      <c r="B271" s="3233" t="s">
        <v>3123</v>
      </c>
      <c r="C271" s="3233"/>
      <c r="D271" s="3233"/>
      <c r="E271" s="3233"/>
      <c r="F271" s="3233">
        <v>1460</v>
      </c>
      <c r="G271" s="3233"/>
    </row>
    <row r="272" spans="1:7" s="3222" customFormat="1" ht="14.25" customHeight="1">
      <c r="A272" s="3233" t="s">
        <v>305</v>
      </c>
      <c r="B272" s="3233" t="s">
        <v>3124</v>
      </c>
      <c r="C272" s="3233"/>
      <c r="D272" s="3233"/>
      <c r="E272" s="3233"/>
      <c r="F272" s="3233">
        <v>1460</v>
      </c>
      <c r="G272" s="3233"/>
    </row>
    <row r="273" spans="1:7" s="3222" customFormat="1" ht="14.25" customHeight="1">
      <c r="A273" s="3233" t="s">
        <v>305</v>
      </c>
      <c r="B273" s="3233" t="s">
        <v>3017</v>
      </c>
      <c r="C273" s="3233"/>
      <c r="D273" s="3233"/>
      <c r="E273" s="3233"/>
      <c r="F273" s="3233">
        <v>1490</v>
      </c>
      <c r="G273" s="3233"/>
    </row>
    <row r="274" spans="1:7" s="3222" customFormat="1" ht="14.25" customHeight="1">
      <c r="A274" s="3233" t="s">
        <v>305</v>
      </c>
      <c r="B274" s="3233" t="s">
        <v>3125</v>
      </c>
      <c r="C274" s="3233"/>
      <c r="D274" s="3233"/>
      <c r="E274" s="3233"/>
      <c r="F274" s="3233">
        <v>1490</v>
      </c>
      <c r="G274" s="3233"/>
    </row>
    <row r="275" spans="1:7" s="3222" customFormat="1" ht="14.25" customHeight="1">
      <c r="A275" s="3233" t="s">
        <v>305</v>
      </c>
      <c r="B275" s="3233" t="s">
        <v>3126</v>
      </c>
      <c r="C275" s="3233"/>
      <c r="D275" s="3233"/>
      <c r="E275" s="3233"/>
      <c r="F275" s="3233">
        <v>1220</v>
      </c>
      <c r="G275" s="3233"/>
    </row>
    <row r="276" spans="1:7" s="3222" customFormat="1" ht="14.25" customHeight="1" thickBot="1">
      <c r="A276" s="3241" t="s">
        <v>305</v>
      </c>
      <c r="B276" s="3243" t="s">
        <v>3127</v>
      </c>
      <c r="C276" s="3244"/>
      <c r="D276" s="3244"/>
      <c r="E276" s="3244"/>
      <c r="F276" s="3244">
        <v>1380</v>
      </c>
      <c r="G276" s="3244"/>
    </row>
    <row r="277" spans="1:7" s="3222" customFormat="1" ht="14.25" customHeight="1">
      <c r="A277" s="3238" t="s">
        <v>306</v>
      </c>
      <c r="B277" s="3229" t="s">
        <v>3128</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3129</v>
      </c>
      <c r="C279" s="3233">
        <v>4760</v>
      </c>
      <c r="D279" s="3233">
        <v>4720</v>
      </c>
      <c r="E279" s="3233">
        <v>5540</v>
      </c>
      <c r="F279" s="3233">
        <v>810</v>
      </c>
      <c r="G279" s="3246">
        <v>2850</v>
      </c>
    </row>
    <row r="280" spans="1:7" s="3222" customFormat="1" ht="14.25" customHeight="1">
      <c r="A280" s="3233" t="s">
        <v>306</v>
      </c>
      <c r="B280" s="3233" t="s">
        <v>3130</v>
      </c>
      <c r="C280" s="3233">
        <v>4010</v>
      </c>
      <c r="D280" s="3233">
        <v>3950</v>
      </c>
      <c r="E280" s="3233">
        <v>4710</v>
      </c>
      <c r="F280" s="3233">
        <v>800</v>
      </c>
      <c r="G280" s="3246">
        <v>2390</v>
      </c>
    </row>
    <row r="281" spans="1:7" s="3222" customFormat="1" ht="14.25" customHeight="1">
      <c r="A281" s="3233" t="s">
        <v>306</v>
      </c>
      <c r="B281" s="3233" t="s">
        <v>3131</v>
      </c>
      <c r="C281" s="3233">
        <v>4480</v>
      </c>
      <c r="D281" s="3233">
        <v>4420</v>
      </c>
      <c r="E281" s="3233">
        <v>5230</v>
      </c>
      <c r="F281" s="3233">
        <v>870</v>
      </c>
      <c r="G281" s="3246">
        <v>2660</v>
      </c>
    </row>
    <row r="282" spans="1:7" s="3222" customFormat="1" ht="14.25" customHeight="1">
      <c r="A282" s="3233" t="s">
        <v>306</v>
      </c>
      <c r="B282" s="3233" t="s">
        <v>3132</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3133</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3134</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2909</v>
      </c>
      <c r="C293" s="3233">
        <v>5320</v>
      </c>
      <c r="D293" s="3233">
        <v>5270</v>
      </c>
      <c r="E293" s="3233">
        <v>6160</v>
      </c>
      <c r="F293" s="3233">
        <v>990</v>
      </c>
      <c r="G293" s="3246">
        <v>3170</v>
      </c>
    </row>
    <row r="294" spans="1:7" s="3222" customFormat="1" ht="14.25" customHeight="1">
      <c r="A294" s="3233" t="s">
        <v>306</v>
      </c>
      <c r="B294" s="3233" t="s">
        <v>3135</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2928</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3136</v>
      </c>
      <c r="C302" s="3233">
        <v>5520</v>
      </c>
      <c r="D302" s="3233">
        <v>5470</v>
      </c>
      <c r="E302" s="3233">
        <v>6410</v>
      </c>
      <c r="F302" s="3233">
        <v>950</v>
      </c>
      <c r="G302" s="3246">
        <v>3300</v>
      </c>
    </row>
    <row r="303" spans="1:7" s="3222" customFormat="1" ht="14.25" customHeight="1">
      <c r="A303" s="3233" t="s">
        <v>306</v>
      </c>
      <c r="B303" s="3233" t="s">
        <v>2948</v>
      </c>
      <c r="C303" s="3233">
        <v>5630</v>
      </c>
      <c r="D303" s="3233">
        <v>5590</v>
      </c>
      <c r="E303" s="3233">
        <v>6550</v>
      </c>
      <c r="F303" s="3233">
        <v>1010</v>
      </c>
      <c r="G303" s="3246">
        <v>3370</v>
      </c>
    </row>
    <row r="304" spans="1:7" s="3222" customFormat="1" ht="14.25" customHeight="1">
      <c r="A304" s="3233" t="s">
        <v>306</v>
      </c>
      <c r="B304" s="3233" t="s">
        <v>2955</v>
      </c>
      <c r="C304" s="3233">
        <v>5680</v>
      </c>
      <c r="D304" s="3233">
        <v>5620</v>
      </c>
      <c r="E304" s="3233">
        <v>6620</v>
      </c>
      <c r="F304" s="3233">
        <v>1050</v>
      </c>
      <c r="G304" s="3246">
        <v>3390</v>
      </c>
    </row>
    <row r="305" spans="1:7" s="3222" customFormat="1" ht="14.25" customHeight="1">
      <c r="A305" s="3233" t="s">
        <v>306</v>
      </c>
      <c r="B305" s="3233" t="s">
        <v>2961</v>
      </c>
      <c r="C305" s="3233">
        <v>5590</v>
      </c>
      <c r="D305" s="3233">
        <v>5530</v>
      </c>
      <c r="E305" s="3233">
        <v>6460</v>
      </c>
      <c r="F305" s="3233">
        <v>900</v>
      </c>
      <c r="G305" s="3246">
        <v>3340</v>
      </c>
    </row>
    <row r="306" spans="1:7" s="3222" customFormat="1" ht="14.25" customHeight="1">
      <c r="A306" s="3233" t="s">
        <v>306</v>
      </c>
      <c r="B306" s="3233" t="s">
        <v>3137</v>
      </c>
      <c r="C306" s="3233">
        <v>5560</v>
      </c>
      <c r="D306" s="3233">
        <v>5510</v>
      </c>
      <c r="E306" s="3233">
        <v>6440</v>
      </c>
      <c r="F306" s="3233">
        <v>900</v>
      </c>
      <c r="G306" s="3246">
        <v>3320</v>
      </c>
    </row>
    <row r="307" spans="1:7" s="3222" customFormat="1" ht="14.25" customHeight="1">
      <c r="A307" s="3233" t="s">
        <v>306</v>
      </c>
      <c r="B307" s="3233" t="s">
        <v>2973</v>
      </c>
      <c r="C307" s="3233">
        <v>5650</v>
      </c>
      <c r="D307" s="3233">
        <v>5600</v>
      </c>
      <c r="E307" s="3233">
        <v>6590</v>
      </c>
      <c r="F307" s="3233">
        <v>930</v>
      </c>
      <c r="G307" s="3246">
        <v>3380</v>
      </c>
    </row>
    <row r="308" spans="1:7" s="3222" customFormat="1" ht="14.25" customHeight="1">
      <c r="A308" s="3233" t="s">
        <v>306</v>
      </c>
      <c r="B308" s="3233" t="s">
        <v>3138</v>
      </c>
      <c r="C308" s="3233">
        <v>5620</v>
      </c>
      <c r="D308" s="3233">
        <v>5580</v>
      </c>
      <c r="E308" s="3233">
        <v>6540</v>
      </c>
      <c r="F308" s="3233">
        <v>910</v>
      </c>
      <c r="G308" s="3246">
        <v>3370</v>
      </c>
    </row>
    <row r="309" spans="1:7" s="3222" customFormat="1" ht="14.25" customHeight="1">
      <c r="A309" s="3233" t="s">
        <v>306</v>
      </c>
      <c r="B309" s="3233" t="s">
        <v>3139</v>
      </c>
      <c r="C309" s="3233">
        <v>5060</v>
      </c>
      <c r="D309" s="3233">
        <v>5020</v>
      </c>
      <c r="E309" s="3233">
        <v>6370</v>
      </c>
      <c r="F309" s="3233">
        <v>800</v>
      </c>
      <c r="G309" s="3246">
        <v>3020</v>
      </c>
    </row>
    <row r="310" spans="1:7" s="3222" customFormat="1" ht="14.25" customHeight="1">
      <c r="A310" s="3233" t="s">
        <v>306</v>
      </c>
      <c r="B310" s="3233" t="s">
        <v>2988</v>
      </c>
      <c r="C310" s="3233">
        <v>5150</v>
      </c>
      <c r="D310" s="3233">
        <v>5110</v>
      </c>
      <c r="E310" s="3233">
        <v>6500</v>
      </c>
      <c r="F310" s="3233">
        <v>880</v>
      </c>
      <c r="G310" s="3246">
        <v>3080</v>
      </c>
    </row>
    <row r="311" spans="1:7" s="3222" customFormat="1" ht="14.25" customHeight="1">
      <c r="A311" s="3233" t="s">
        <v>306</v>
      </c>
      <c r="B311" s="3233" t="s">
        <v>3140</v>
      </c>
      <c r="C311" s="3233">
        <v>4750</v>
      </c>
      <c r="D311" s="3233">
        <v>4710</v>
      </c>
      <c r="E311" s="3233">
        <v>5510</v>
      </c>
      <c r="F311" s="3233">
        <v>880</v>
      </c>
      <c r="G311" s="3246">
        <v>2840</v>
      </c>
    </row>
    <row r="312" spans="1:7" s="3222" customFormat="1" ht="14.25" customHeight="1">
      <c r="A312" s="3233" t="s">
        <v>306</v>
      </c>
      <c r="B312" s="3233" t="s">
        <v>2998</v>
      </c>
      <c r="C312" s="3233">
        <v>4690</v>
      </c>
      <c r="D312" s="3233">
        <v>4640</v>
      </c>
      <c r="E312" s="3233">
        <v>5420</v>
      </c>
      <c r="F312" s="3233">
        <v>800</v>
      </c>
      <c r="G312" s="3246">
        <v>2800</v>
      </c>
    </row>
    <row r="313" spans="1:7" s="3222" customFormat="1" ht="14.25" customHeight="1">
      <c r="A313" s="3233" t="s">
        <v>306</v>
      </c>
      <c r="B313" s="3233" t="s">
        <v>3003</v>
      </c>
      <c r="C313" s="3233">
        <v>4810</v>
      </c>
      <c r="D313" s="3233">
        <v>4760</v>
      </c>
      <c r="E313" s="3233">
        <v>5550</v>
      </c>
      <c r="F313" s="3233">
        <v>920</v>
      </c>
      <c r="G313" s="3246">
        <v>2870</v>
      </c>
    </row>
    <row r="314" spans="1:7" s="3222" customFormat="1" ht="14.25" customHeight="1">
      <c r="A314" s="3233" t="s">
        <v>306</v>
      </c>
      <c r="B314" s="3233" t="s">
        <v>3141</v>
      </c>
      <c r="C314" s="3233"/>
      <c r="D314" s="3233"/>
      <c r="E314" s="3233"/>
      <c r="F314" s="3233">
        <v>1020</v>
      </c>
      <c r="G314" s="3246"/>
    </row>
    <row r="315" spans="1:7" s="3222" customFormat="1" ht="14.25" customHeight="1">
      <c r="A315" s="3233" t="s">
        <v>306</v>
      </c>
      <c r="B315" s="3233" t="s">
        <v>3142</v>
      </c>
      <c r="C315" s="3233"/>
      <c r="D315" s="3233"/>
      <c r="E315" s="3233"/>
      <c r="F315" s="3233">
        <v>1050</v>
      </c>
      <c r="G315" s="3246"/>
    </row>
    <row r="316" spans="1:7" s="3222" customFormat="1" ht="14.25" customHeight="1">
      <c r="A316" s="3233" t="s">
        <v>306</v>
      </c>
      <c r="B316" s="3233" t="s">
        <v>3018</v>
      </c>
      <c r="C316" s="3233"/>
      <c r="D316" s="3233"/>
      <c r="E316" s="3233"/>
      <c r="F316" s="3233">
        <v>900</v>
      </c>
      <c r="G316" s="3246"/>
    </row>
    <row r="317" spans="1:7" s="3222" customFormat="1" ht="14.25" customHeight="1">
      <c r="A317" s="3233" t="s">
        <v>306</v>
      </c>
      <c r="B317" s="3233" t="s">
        <v>3143</v>
      </c>
      <c r="C317" s="3233"/>
      <c r="D317" s="3233"/>
      <c r="E317" s="3233"/>
      <c r="F317" s="3233">
        <v>920</v>
      </c>
      <c r="G317" s="3246"/>
    </row>
    <row r="318" spans="1:7" s="3222" customFormat="1" ht="14.25" customHeight="1">
      <c r="A318" s="3233" t="s">
        <v>306</v>
      </c>
      <c r="B318" s="3233" t="s">
        <v>3144</v>
      </c>
      <c r="C318" s="3233"/>
      <c r="D318" s="3233"/>
      <c r="E318" s="3233"/>
      <c r="F318" s="3233">
        <v>1080</v>
      </c>
      <c r="G318" s="3246"/>
    </row>
    <row r="319" spans="1:7" s="3222" customFormat="1" ht="14.25" customHeight="1">
      <c r="A319" s="3233" t="s">
        <v>306</v>
      </c>
      <c r="B319" s="3233" t="s">
        <v>3031</v>
      </c>
      <c r="C319" s="3233"/>
      <c r="D319" s="3233"/>
      <c r="E319" s="3233"/>
      <c r="F319" s="3233">
        <v>1020</v>
      </c>
      <c r="G319" s="3246"/>
    </row>
    <row r="320" spans="1:7" s="3222" customFormat="1" ht="14.25" customHeight="1">
      <c r="A320" s="3233" t="s">
        <v>306</v>
      </c>
      <c r="B320" s="3233" t="s">
        <v>3034</v>
      </c>
      <c r="C320" s="3233"/>
      <c r="D320" s="3233"/>
      <c r="E320" s="3233"/>
      <c r="F320" s="3233">
        <v>1050</v>
      </c>
      <c r="G320" s="3246"/>
    </row>
    <row r="321" spans="1:7" s="3222" customFormat="1" ht="14.25" customHeight="1">
      <c r="A321" s="3233" t="s">
        <v>306</v>
      </c>
      <c r="B321" s="3233" t="s">
        <v>3036</v>
      </c>
      <c r="C321" s="3233"/>
      <c r="D321" s="3233"/>
      <c r="E321" s="3233"/>
      <c r="F321" s="3233">
        <v>960</v>
      </c>
      <c r="G321" s="3246"/>
    </row>
    <row r="322" spans="1:7" s="3222" customFormat="1" ht="14.25" customHeight="1">
      <c r="A322" s="3233" t="s">
        <v>306</v>
      </c>
      <c r="B322" s="3233" t="s">
        <v>3038</v>
      </c>
      <c r="C322" s="3233"/>
      <c r="D322" s="3233"/>
      <c r="E322" s="3233"/>
      <c r="F322" s="3233">
        <v>960</v>
      </c>
      <c r="G322" s="3246"/>
    </row>
    <row r="323" spans="1:7" s="3222" customFormat="1" ht="14.25" customHeight="1">
      <c r="A323" s="3233" t="s">
        <v>306</v>
      </c>
      <c r="B323" s="3233" t="s">
        <v>3040</v>
      </c>
      <c r="C323" s="3233"/>
      <c r="D323" s="3233"/>
      <c r="E323" s="3233"/>
      <c r="F323" s="3233">
        <v>880</v>
      </c>
      <c r="G323" s="3246"/>
    </row>
    <row r="324" spans="1:7" s="3222" customFormat="1" ht="14.25" customHeight="1">
      <c r="A324" s="3233" t="s">
        <v>306</v>
      </c>
      <c r="B324" s="3233" t="s">
        <v>3042</v>
      </c>
      <c r="C324" s="3233"/>
      <c r="D324" s="3233"/>
      <c r="E324" s="3233"/>
      <c r="F324" s="3233">
        <v>930</v>
      </c>
      <c r="G324" s="3246"/>
    </row>
    <row r="325" spans="1:7" s="3222" customFormat="1" ht="14.25" customHeight="1">
      <c r="A325" s="3233" t="s">
        <v>306</v>
      </c>
      <c r="B325" s="3234" t="s">
        <v>3044</v>
      </c>
      <c r="C325" s="3233"/>
      <c r="D325" s="3233"/>
      <c r="E325" s="3233"/>
      <c r="F325" s="3233">
        <v>900</v>
      </c>
      <c r="G325" s="3246"/>
    </row>
    <row r="326" spans="1:7" s="3222" customFormat="1" ht="14.25" customHeight="1" thickBot="1">
      <c r="A326" s="3247" t="s">
        <v>306</v>
      </c>
      <c r="B326" s="3240" t="s">
        <v>3046</v>
      </c>
      <c r="C326" s="3240"/>
      <c r="D326" s="3240"/>
      <c r="E326" s="3240"/>
      <c r="F326" s="3240">
        <v>790</v>
      </c>
      <c r="G326" s="3248"/>
    </row>
    <row r="327" spans="1:7" s="3222" customFormat="1" ht="14.25" customHeight="1">
      <c r="A327" s="3238" t="s">
        <v>307</v>
      </c>
      <c r="B327" s="3229" t="s">
        <v>3145</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3146</v>
      </c>
      <c r="C329" s="3233">
        <v>2730</v>
      </c>
      <c r="D329" s="3233">
        <v>2690</v>
      </c>
      <c r="E329" s="3233">
        <v>3100</v>
      </c>
      <c r="F329" s="3233">
        <v>660</v>
      </c>
      <c r="G329" s="3233">
        <v>1610</v>
      </c>
    </row>
    <row r="330" spans="1:7" s="3222" customFormat="1" ht="14.25" customHeight="1">
      <c r="A330" s="3233" t="s">
        <v>307</v>
      </c>
      <c r="B330" s="3233" t="s">
        <v>3147</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2880</v>
      </c>
      <c r="C332" s="3233">
        <v>3520</v>
      </c>
      <c r="D332" s="3233">
        <v>3480</v>
      </c>
      <c r="E332" s="3233">
        <v>3830</v>
      </c>
      <c r="F332" s="3233">
        <v>720</v>
      </c>
      <c r="G332" s="3233">
        <v>2090</v>
      </c>
    </row>
    <row r="333" spans="1:7" s="3222" customFormat="1" ht="14.25" customHeight="1">
      <c r="A333" s="3233" t="s">
        <v>307</v>
      </c>
      <c r="B333" s="3233" t="s">
        <v>3148</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2890</v>
      </c>
      <c r="C336" s="3233">
        <v>3570</v>
      </c>
      <c r="D336" s="3233">
        <v>3530</v>
      </c>
      <c r="E336" s="3233">
        <v>3880</v>
      </c>
      <c r="F336" s="3233">
        <v>770</v>
      </c>
      <c r="G336" s="3233">
        <v>2110</v>
      </c>
    </row>
    <row r="337" spans="1:10" s="3222" customFormat="1" ht="14.25" customHeight="1">
      <c r="A337" s="3233" t="s">
        <v>307</v>
      </c>
      <c r="B337" s="3233" t="s">
        <v>3149</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3150</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3151</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2915</v>
      </c>
      <c r="C345" s="3233">
        <v>3190</v>
      </c>
      <c r="D345" s="3233">
        <v>3140</v>
      </c>
      <c r="E345" s="3233">
        <v>3450</v>
      </c>
      <c r="F345" s="3233">
        <v>720</v>
      </c>
      <c r="G345" s="3233">
        <v>1880</v>
      </c>
      <c r="J345" s="3222"/>
    </row>
    <row r="346" spans="1:10">
      <c r="A346" s="3233" t="s">
        <v>307</v>
      </c>
      <c r="B346" s="3233" t="s">
        <v>3152</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2924</v>
      </c>
      <c r="C348" s="3233">
        <v>4000</v>
      </c>
      <c r="D348" s="3233">
        <v>3950</v>
      </c>
      <c r="E348" s="3233">
        <v>4430</v>
      </c>
      <c r="F348" s="3233">
        <v>760</v>
      </c>
      <c r="G348" s="3233">
        <v>2360</v>
      </c>
      <c r="J348" s="3222"/>
    </row>
    <row r="349" spans="1:10">
      <c r="A349" s="3233" t="s">
        <v>307</v>
      </c>
      <c r="B349" s="3233" t="s">
        <v>2929</v>
      </c>
      <c r="C349" s="3233">
        <v>3820</v>
      </c>
      <c r="D349" s="3233">
        <v>3780</v>
      </c>
      <c r="E349" s="3233">
        <v>4170</v>
      </c>
      <c r="F349" s="3233">
        <v>710</v>
      </c>
      <c r="G349" s="3233">
        <v>2260</v>
      </c>
      <c r="J349" s="3222"/>
    </row>
    <row r="350" spans="1:10">
      <c r="A350" s="3233" t="s">
        <v>307</v>
      </c>
      <c r="B350" s="3233" t="s">
        <v>3153</v>
      </c>
      <c r="C350" s="3233">
        <v>3760</v>
      </c>
      <c r="D350" s="3233">
        <v>3730</v>
      </c>
      <c r="E350" s="3233">
        <v>4100</v>
      </c>
      <c r="F350" s="3233">
        <v>800</v>
      </c>
      <c r="G350" s="3233">
        <v>2230</v>
      </c>
      <c r="J350" s="3222"/>
    </row>
    <row r="351" spans="1:10">
      <c r="A351" s="3233" t="s">
        <v>307</v>
      </c>
      <c r="B351" s="3233" t="s">
        <v>2937</v>
      </c>
      <c r="C351" s="3233">
        <v>3610</v>
      </c>
      <c r="D351" s="3233">
        <v>3580</v>
      </c>
      <c r="E351" s="3233">
        <v>3930</v>
      </c>
      <c r="F351" s="3233">
        <v>700</v>
      </c>
      <c r="G351" s="3233">
        <v>2140</v>
      </c>
      <c r="J351" s="3222"/>
    </row>
    <row r="352" spans="1:10">
      <c r="A352" s="3233" t="s">
        <v>307</v>
      </c>
      <c r="B352" s="3233" t="s">
        <v>2942</v>
      </c>
      <c r="C352" s="3233">
        <v>3670</v>
      </c>
      <c r="D352" s="3233">
        <v>3630</v>
      </c>
      <c r="E352" s="3233">
        <v>4000</v>
      </c>
      <c r="F352" s="3233">
        <v>750</v>
      </c>
      <c r="G352" s="3233">
        <v>2180</v>
      </c>
    </row>
    <row r="353" spans="1:7" s="3226" customFormat="1">
      <c r="A353" s="3233" t="s">
        <v>307</v>
      </c>
      <c r="B353" s="3233" t="s">
        <v>3154</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2962</v>
      </c>
      <c r="C355" s="3233">
        <v>3650</v>
      </c>
      <c r="D355" s="3233">
        <v>3610</v>
      </c>
      <c r="E355" s="3233">
        <v>4200</v>
      </c>
      <c r="F355" s="3233">
        <v>640</v>
      </c>
      <c r="G355" s="3233">
        <v>2160</v>
      </c>
    </row>
    <row r="356" spans="1:7" s="3226" customFormat="1">
      <c r="A356" s="3233" t="s">
        <v>307</v>
      </c>
      <c r="B356" s="3233" t="s">
        <v>2969</v>
      </c>
      <c r="C356" s="3233">
        <v>3260</v>
      </c>
      <c r="D356" s="3233">
        <v>3230</v>
      </c>
      <c r="E356" s="3233">
        <v>3740</v>
      </c>
      <c r="F356" s="3233">
        <v>600</v>
      </c>
      <c r="G356" s="3233">
        <v>1930</v>
      </c>
    </row>
    <row r="357" spans="1:7" s="3226" customFormat="1" ht="12" thickBot="1">
      <c r="A357" s="3241" t="s">
        <v>307</v>
      </c>
      <c r="B357" s="3244" t="s">
        <v>3155</v>
      </c>
      <c r="C357" s="3244">
        <v>3690</v>
      </c>
      <c r="D357" s="3244">
        <v>3650</v>
      </c>
      <c r="E357" s="3244">
        <v>4020</v>
      </c>
      <c r="F357" s="3244">
        <v>700</v>
      </c>
      <c r="G357" s="3244">
        <v>2190</v>
      </c>
    </row>
    <row r="358" spans="1:7" s="3226" customFormat="1">
      <c r="A358" s="3238" t="s">
        <v>3156</v>
      </c>
      <c r="B358" s="3229" t="s">
        <v>3157</v>
      </c>
      <c r="C358" s="3229">
        <v>2080</v>
      </c>
      <c r="D358" s="3229">
        <v>2040</v>
      </c>
      <c r="E358" s="3229">
        <v>2010</v>
      </c>
      <c r="F358" s="3229">
        <v>530</v>
      </c>
      <c r="G358" s="3245">
        <v>1230</v>
      </c>
    </row>
    <row r="359" spans="1:7" s="3226" customFormat="1">
      <c r="A359" s="3233" t="s">
        <v>3156</v>
      </c>
      <c r="B359" s="3233" t="s">
        <v>3158</v>
      </c>
      <c r="C359" s="3233">
        <v>1850</v>
      </c>
      <c r="D359" s="3233">
        <v>1820</v>
      </c>
      <c r="E359" s="3233">
        <v>1780</v>
      </c>
      <c r="F359" s="3233">
        <v>520</v>
      </c>
      <c r="G359" s="3246">
        <v>1100</v>
      </c>
    </row>
    <row r="360" spans="1:7" s="3226" customFormat="1">
      <c r="A360" s="3233" t="s">
        <v>3156</v>
      </c>
      <c r="B360" s="3233" t="s">
        <v>3159</v>
      </c>
      <c r="C360" s="3233">
        <v>2020</v>
      </c>
      <c r="D360" s="3233">
        <v>1990</v>
      </c>
      <c r="E360" s="3233">
        <v>1950</v>
      </c>
      <c r="F360" s="3233">
        <v>500</v>
      </c>
      <c r="G360" s="3246">
        <v>1200</v>
      </c>
    </row>
    <row r="361" spans="1:7" s="3226" customFormat="1">
      <c r="A361" s="3233" t="s">
        <v>3156</v>
      </c>
      <c r="B361" s="3233" t="s">
        <v>153</v>
      </c>
      <c r="C361" s="3233">
        <v>2260</v>
      </c>
      <c r="D361" s="3233">
        <v>2220</v>
      </c>
      <c r="E361" s="3233">
        <v>2180</v>
      </c>
      <c r="F361" s="3233">
        <v>580</v>
      </c>
      <c r="G361" s="3246">
        <v>1340</v>
      </c>
    </row>
    <row r="362" spans="1:7" s="3226" customFormat="1">
      <c r="A362" s="3233" t="s">
        <v>3156</v>
      </c>
      <c r="B362" s="3233" t="s">
        <v>3160</v>
      </c>
      <c r="C362" s="3233">
        <v>2650</v>
      </c>
      <c r="D362" s="3233">
        <v>2610</v>
      </c>
      <c r="E362" s="3233">
        <v>2570</v>
      </c>
      <c r="F362" s="3233">
        <v>630</v>
      </c>
      <c r="G362" s="3246">
        <v>1570</v>
      </c>
    </row>
    <row r="363" spans="1:7" s="3226" customFormat="1">
      <c r="A363" s="3233" t="s">
        <v>3156</v>
      </c>
      <c r="B363" s="3233" t="s">
        <v>2881</v>
      </c>
      <c r="C363" s="3233">
        <v>2390</v>
      </c>
      <c r="D363" s="3233">
        <v>2360</v>
      </c>
      <c r="E363" s="3233">
        <v>2320</v>
      </c>
      <c r="F363" s="3233">
        <v>600</v>
      </c>
      <c r="G363" s="3246">
        <v>1420</v>
      </c>
    </row>
    <row r="364" spans="1:7" s="3226" customFormat="1">
      <c r="A364" s="3233" t="s">
        <v>3156</v>
      </c>
      <c r="B364" s="3233" t="s">
        <v>3161</v>
      </c>
      <c r="C364" s="3233">
        <v>2050</v>
      </c>
      <c r="D364" s="3233">
        <v>2030</v>
      </c>
      <c r="E364" s="3233">
        <v>1990</v>
      </c>
      <c r="F364" s="3233">
        <v>550</v>
      </c>
      <c r="G364" s="3246">
        <v>1220</v>
      </c>
    </row>
    <row r="365" spans="1:7" s="3226" customFormat="1">
      <c r="A365" s="3233" t="s">
        <v>3156</v>
      </c>
      <c r="B365" s="3233" t="s">
        <v>200</v>
      </c>
      <c r="C365" s="3233">
        <v>2140</v>
      </c>
      <c r="D365" s="3233">
        <v>2100</v>
      </c>
      <c r="E365" s="3233">
        <v>2060</v>
      </c>
      <c r="F365" s="3233">
        <v>540</v>
      </c>
      <c r="G365" s="3246">
        <v>1270</v>
      </c>
    </row>
    <row r="366" spans="1:7" s="3226" customFormat="1">
      <c r="A366" s="3233" t="s">
        <v>3156</v>
      </c>
      <c r="B366" s="3233" t="s">
        <v>2888</v>
      </c>
      <c r="C366" s="3233">
        <v>2410</v>
      </c>
      <c r="D366" s="3233">
        <v>2370</v>
      </c>
      <c r="E366" s="3233">
        <v>2330</v>
      </c>
      <c r="F366" s="3233">
        <v>570</v>
      </c>
      <c r="G366" s="3246">
        <v>1440</v>
      </c>
    </row>
    <row r="367" spans="1:7" s="3226" customFormat="1">
      <c r="A367" s="3233" t="s">
        <v>3156</v>
      </c>
      <c r="B367" s="3233" t="s">
        <v>3162</v>
      </c>
      <c r="C367" s="3233">
        <v>2300</v>
      </c>
      <c r="D367" s="3233">
        <v>2260</v>
      </c>
      <c r="E367" s="3233">
        <v>2220</v>
      </c>
      <c r="F367" s="3233">
        <v>560</v>
      </c>
      <c r="G367" s="3246">
        <v>1370</v>
      </c>
    </row>
    <row r="368" spans="1:7" s="3226" customFormat="1">
      <c r="A368" s="3233" t="s">
        <v>3156</v>
      </c>
      <c r="B368" s="3233" t="s">
        <v>3163</v>
      </c>
      <c r="C368" s="3233">
        <v>2430</v>
      </c>
      <c r="D368" s="3233">
        <v>2390</v>
      </c>
      <c r="E368" s="3233">
        <v>2350</v>
      </c>
      <c r="F368" s="3233">
        <v>570</v>
      </c>
      <c r="G368" s="3246">
        <v>1450</v>
      </c>
    </row>
    <row r="369" spans="1:7" s="3226" customFormat="1">
      <c r="A369" s="3233" t="s">
        <v>3156</v>
      </c>
      <c r="B369" s="3233" t="s">
        <v>214</v>
      </c>
      <c r="C369" s="3233">
        <v>2320</v>
      </c>
      <c r="D369" s="3233">
        <v>2290</v>
      </c>
      <c r="E369" s="3233">
        <v>2250</v>
      </c>
      <c r="F369" s="3233">
        <v>550</v>
      </c>
      <c r="G369" s="3246">
        <v>1380</v>
      </c>
    </row>
    <row r="370" spans="1:7" s="3226" customFormat="1">
      <c r="A370" s="3233" t="s">
        <v>3156</v>
      </c>
      <c r="B370" s="3233" t="s">
        <v>221</v>
      </c>
      <c r="C370" s="3233">
        <v>2190</v>
      </c>
      <c r="D370" s="3233">
        <v>2170</v>
      </c>
      <c r="E370" s="3233">
        <v>2130</v>
      </c>
      <c r="F370" s="3233">
        <v>530</v>
      </c>
      <c r="G370" s="3246">
        <v>1310</v>
      </c>
    </row>
    <row r="371" spans="1:7" s="3226" customFormat="1">
      <c r="A371" s="3233" t="s">
        <v>3156</v>
      </c>
      <c r="B371" s="3233" t="s">
        <v>229</v>
      </c>
      <c r="C371" s="3233">
        <v>2460</v>
      </c>
      <c r="D371" s="3233">
        <v>2420</v>
      </c>
      <c r="E371" s="3233">
        <v>2370</v>
      </c>
      <c r="F371" s="3233">
        <v>560</v>
      </c>
      <c r="G371" s="3246">
        <v>1470</v>
      </c>
    </row>
    <row r="372" spans="1:7" s="3226" customFormat="1">
      <c r="A372" s="3233" t="s">
        <v>3156</v>
      </c>
      <c r="B372" s="3233" t="s">
        <v>3164</v>
      </c>
      <c r="C372" s="3233">
        <v>2250</v>
      </c>
      <c r="D372" s="3233">
        <v>2210</v>
      </c>
      <c r="E372" s="3233">
        <v>2180</v>
      </c>
      <c r="F372" s="3233">
        <v>550</v>
      </c>
      <c r="G372" s="3246">
        <v>1340</v>
      </c>
    </row>
    <row r="373" spans="1:7" s="3226" customFormat="1">
      <c r="A373" s="3233" t="s">
        <v>3156</v>
      </c>
      <c r="B373" s="3233" t="s">
        <v>258</v>
      </c>
      <c r="C373" s="3233">
        <v>2210</v>
      </c>
      <c r="D373" s="3233">
        <v>2190</v>
      </c>
      <c r="E373" s="3233">
        <v>2150</v>
      </c>
      <c r="F373" s="3233">
        <v>530</v>
      </c>
      <c r="G373" s="3246">
        <v>1320</v>
      </c>
    </row>
    <row r="374" spans="1:7" s="3226" customFormat="1">
      <c r="A374" s="3233" t="s">
        <v>3156</v>
      </c>
      <c r="B374" s="3233" t="s">
        <v>266</v>
      </c>
      <c r="C374" s="3233">
        <v>2320</v>
      </c>
      <c r="D374" s="3233">
        <v>2280</v>
      </c>
      <c r="E374" s="3233">
        <v>2230</v>
      </c>
      <c r="F374" s="3233">
        <v>580</v>
      </c>
      <c r="G374" s="3246">
        <v>1380</v>
      </c>
    </row>
    <row r="375" spans="1:7" s="3226" customFormat="1">
      <c r="A375" s="3233" t="s">
        <v>3156</v>
      </c>
      <c r="B375" s="3233" t="s">
        <v>3165</v>
      </c>
      <c r="C375" s="3233">
        <v>2090</v>
      </c>
      <c r="D375" s="3233">
        <v>2050</v>
      </c>
      <c r="E375" s="3233">
        <v>2020</v>
      </c>
      <c r="F375" s="3233">
        <v>520</v>
      </c>
      <c r="G375" s="3246">
        <v>1240</v>
      </c>
    </row>
    <row r="376" spans="1:7" s="3226" customFormat="1">
      <c r="A376" s="3233" t="s">
        <v>3156</v>
      </c>
      <c r="B376" s="3233" t="s">
        <v>277</v>
      </c>
      <c r="C376" s="3233">
        <v>2010</v>
      </c>
      <c r="D376" s="3233">
        <v>1980</v>
      </c>
      <c r="E376" s="3233">
        <v>1940</v>
      </c>
      <c r="F376" s="3233">
        <v>540</v>
      </c>
      <c r="G376" s="3246">
        <v>1190</v>
      </c>
    </row>
    <row r="377" spans="1:7" s="3226" customFormat="1" ht="12" thickBot="1">
      <c r="A377" s="3241" t="s">
        <v>3156</v>
      </c>
      <c r="B377" s="3244" t="s">
        <v>2918</v>
      </c>
      <c r="C377" s="3244">
        <v>1930</v>
      </c>
      <c r="D377" s="3244">
        <v>1890</v>
      </c>
      <c r="E377" s="3244">
        <v>1860</v>
      </c>
      <c r="F377" s="3244">
        <v>530</v>
      </c>
      <c r="G377" s="3249">
        <v>1150</v>
      </c>
    </row>
    <row r="378" spans="1:7" s="3226" customFormat="1">
      <c r="A378" s="3250" t="s">
        <v>3166</v>
      </c>
      <c r="B378" s="3229" t="s">
        <v>3167</v>
      </c>
      <c r="C378" s="3229">
        <v>1520</v>
      </c>
      <c r="D378" s="3229">
        <v>1490</v>
      </c>
      <c r="E378" s="3229">
        <v>1460</v>
      </c>
      <c r="F378" s="3229">
        <v>460</v>
      </c>
      <c r="G378" s="3245">
        <v>940</v>
      </c>
    </row>
    <row r="379" spans="1:7" s="3226" customFormat="1">
      <c r="A379" s="3251" t="s">
        <v>3166</v>
      </c>
      <c r="B379" s="3233" t="s">
        <v>3168</v>
      </c>
      <c r="C379" s="3233">
        <v>1500</v>
      </c>
      <c r="D379" s="3233">
        <v>1470</v>
      </c>
      <c r="E379" s="3233">
        <v>1430</v>
      </c>
      <c r="F379" s="3233">
        <v>460</v>
      </c>
      <c r="G379" s="3246">
        <v>920</v>
      </c>
    </row>
    <row r="380" spans="1:7" s="3226" customFormat="1">
      <c r="A380" s="3251" t="s">
        <v>3166</v>
      </c>
      <c r="B380" s="3233" t="s">
        <v>3169</v>
      </c>
      <c r="C380" s="3233">
        <v>1620</v>
      </c>
      <c r="D380" s="3233">
        <v>1590</v>
      </c>
      <c r="E380" s="3233">
        <v>1560</v>
      </c>
      <c r="F380" s="3233">
        <v>480</v>
      </c>
      <c r="G380" s="3246">
        <v>1000</v>
      </c>
    </row>
    <row r="381" spans="1:7" s="3226" customFormat="1">
      <c r="A381" s="3251" t="s">
        <v>3166</v>
      </c>
      <c r="B381" s="3233" t="s">
        <v>3170</v>
      </c>
      <c r="C381" s="3233">
        <v>1460</v>
      </c>
      <c r="D381" s="3233">
        <v>1430</v>
      </c>
      <c r="E381" s="3233">
        <v>1390</v>
      </c>
      <c r="F381" s="3233">
        <v>450</v>
      </c>
      <c r="G381" s="3246">
        <v>900</v>
      </c>
    </row>
    <row r="382" spans="1:7" s="3226" customFormat="1">
      <c r="A382" s="3251" t="s">
        <v>3166</v>
      </c>
      <c r="B382" s="3233" t="s">
        <v>3171</v>
      </c>
      <c r="C382" s="3233">
        <v>1310</v>
      </c>
      <c r="D382" s="3233">
        <v>1280</v>
      </c>
      <c r="E382" s="3233">
        <v>1250</v>
      </c>
      <c r="F382" s="3233">
        <v>440</v>
      </c>
      <c r="G382" s="3246">
        <v>800</v>
      </c>
    </row>
    <row r="383" spans="1:7" s="3226" customFormat="1">
      <c r="A383" s="3251" t="s">
        <v>3166</v>
      </c>
      <c r="B383" s="3233" t="s">
        <v>3172</v>
      </c>
      <c r="C383" s="3233">
        <v>1260</v>
      </c>
      <c r="D383" s="3233">
        <v>1230</v>
      </c>
      <c r="E383" s="3233">
        <v>1200</v>
      </c>
      <c r="F383" s="3233">
        <v>420</v>
      </c>
      <c r="G383" s="3246">
        <v>770</v>
      </c>
    </row>
    <row r="384" spans="1:7" s="3226" customFormat="1" ht="12" thickBot="1">
      <c r="A384" s="3252" t="s">
        <v>3166</v>
      </c>
      <c r="B384" s="3240" t="s">
        <v>3173</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8" t="s">
        <v>3174</v>
      </c>
      <c r="B1" s="3808"/>
    </row>
    <row r="2" spans="1:7" ht="14.25" thickBot="1">
      <c r="A2" s="3255"/>
      <c r="B2" s="3255"/>
    </row>
    <row r="3" spans="1:7" ht="14.25" thickBot="1">
      <c r="A3" s="3255"/>
      <c r="B3" s="3255"/>
      <c r="C3" s="3256" t="s">
        <v>2804</v>
      </c>
      <c r="D3" s="3256" t="s">
        <v>2860</v>
      </c>
      <c r="E3" s="3256" t="s">
        <v>2806</v>
      </c>
      <c r="F3" s="3256" t="s">
        <v>2861</v>
      </c>
      <c r="G3" s="3256" t="s">
        <v>2624</v>
      </c>
    </row>
    <row r="4" spans="1:7" ht="14.25" thickBot="1">
      <c r="A4" s="3257" t="s">
        <v>2859</v>
      </c>
      <c r="B4" s="3258" t="s">
        <v>2865</v>
      </c>
      <c r="C4" s="3256"/>
      <c r="D4" s="3256"/>
      <c r="E4" s="3256"/>
      <c r="F4" s="3256"/>
      <c r="G4" s="3256"/>
    </row>
    <row r="5" spans="1:7">
      <c r="A5" s="3259" t="s">
        <v>2833</v>
      </c>
      <c r="B5" s="3260" t="s">
        <v>2847</v>
      </c>
      <c r="C5" s="3261">
        <v>9.8000000000000004E-2</v>
      </c>
      <c r="D5" s="3261">
        <v>8.6999999999999994E-2</v>
      </c>
      <c r="E5" s="3261">
        <v>8.6999999999999994E-2</v>
      </c>
      <c r="F5" s="3261">
        <v>9.8000000000000004E-2</v>
      </c>
      <c r="G5" s="3262">
        <v>9.5000000000000001E-2</v>
      </c>
    </row>
    <row r="6" spans="1:7">
      <c r="A6" s="3263" t="s">
        <v>144</v>
      </c>
      <c r="B6" s="3264" t="s">
        <v>2862</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2848</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2898</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2916</v>
      </c>
      <c r="C29" s="3273"/>
      <c r="D29" s="3269">
        <v>5.1999999999999998E-2</v>
      </c>
      <c r="E29" s="3269">
        <v>7.0000000000000007E-2</v>
      </c>
      <c r="F29" s="3273"/>
      <c r="G29" s="3271">
        <v>7.0999999999999994E-2</v>
      </c>
    </row>
    <row r="30" spans="1:7">
      <c r="A30" s="3274" t="s">
        <v>296</v>
      </c>
      <c r="B30" s="3260" t="s">
        <v>2849</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2835</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2919</v>
      </c>
      <c r="C50" s="3265">
        <v>9.8000000000000004E-2</v>
      </c>
      <c r="D50" s="3265">
        <v>7.2999999999999995E-2</v>
      </c>
      <c r="E50" s="3265">
        <v>7.0999999999999994E-2</v>
      </c>
      <c r="F50" s="3276"/>
      <c r="G50" s="3266">
        <v>7.2999999999999995E-2</v>
      </c>
    </row>
    <row r="51" spans="1:7">
      <c r="A51" s="3275" t="s">
        <v>296</v>
      </c>
      <c r="B51" s="3264" t="s">
        <v>2921</v>
      </c>
      <c r="C51" s="3265">
        <v>9.9000000000000005E-2</v>
      </c>
      <c r="D51" s="3265">
        <v>8.5000000000000006E-2</v>
      </c>
      <c r="E51" s="3265">
        <v>6.3E-2</v>
      </c>
      <c r="F51" s="3276"/>
      <c r="G51" s="3266">
        <v>9.6000000000000002E-2</v>
      </c>
    </row>
    <row r="52" spans="1:7">
      <c r="A52" s="3275" t="s">
        <v>296</v>
      </c>
      <c r="B52" s="3264" t="s">
        <v>2925</v>
      </c>
      <c r="C52" s="3265">
        <v>7.3999999999999996E-2</v>
      </c>
      <c r="D52" s="3265">
        <v>9.6000000000000002E-2</v>
      </c>
      <c r="E52" s="3265">
        <v>0.05</v>
      </c>
      <c r="F52" s="3276"/>
      <c r="G52" s="3266">
        <v>9.8000000000000004E-2</v>
      </c>
    </row>
    <row r="53" spans="1:7">
      <c r="A53" s="3275" t="s">
        <v>296</v>
      </c>
      <c r="B53" s="3264" t="s">
        <v>2930</v>
      </c>
      <c r="C53" s="3265">
        <v>8.5999999999999993E-2</v>
      </c>
      <c r="D53" s="3276"/>
      <c r="E53" s="3265">
        <v>9.1999999999999998E-2</v>
      </c>
      <c r="F53" s="3276"/>
      <c r="G53" s="3277"/>
    </row>
    <row r="54" spans="1:7" ht="14.25" thickBot="1">
      <c r="A54" s="3278" t="s">
        <v>296</v>
      </c>
      <c r="B54" s="3268" t="s">
        <v>2933</v>
      </c>
      <c r="C54" s="3269">
        <v>9.6000000000000002E-2</v>
      </c>
      <c r="D54" s="3270"/>
      <c r="E54" s="3279"/>
      <c r="F54" s="3270"/>
      <c r="G54" s="3280"/>
    </row>
    <row r="55" spans="1:7">
      <c r="A55" s="3274" t="s">
        <v>110</v>
      </c>
      <c r="B55" s="3260" t="s">
        <v>2850</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2931</v>
      </c>
      <c r="C78" s="3265">
        <v>0.1</v>
      </c>
      <c r="D78" s="3265">
        <v>8.5000000000000006E-2</v>
      </c>
      <c r="E78" s="3265">
        <v>9.6000000000000002E-2</v>
      </c>
      <c r="F78" s="3276"/>
      <c r="G78" s="3266">
        <v>9.6000000000000002E-2</v>
      </c>
    </row>
    <row r="79" spans="1:7">
      <c r="A79" s="3275" t="s">
        <v>110</v>
      </c>
      <c r="B79" s="3264" t="s">
        <v>2934</v>
      </c>
      <c r="C79" s="3265">
        <v>0.05</v>
      </c>
      <c r="D79" s="3265">
        <v>9.6000000000000002E-2</v>
      </c>
      <c r="E79" s="3265">
        <v>9.5000000000000001E-2</v>
      </c>
      <c r="F79" s="3276"/>
      <c r="G79" s="3266">
        <v>9.8000000000000004E-2</v>
      </c>
    </row>
    <row r="80" spans="1:7">
      <c r="A80" s="3275" t="s">
        <v>110</v>
      </c>
      <c r="B80" s="3264" t="s">
        <v>2938</v>
      </c>
      <c r="C80" s="3265">
        <v>8.5999999999999993E-2</v>
      </c>
      <c r="D80" s="3281"/>
      <c r="E80" s="3265">
        <v>0.1</v>
      </c>
      <c r="F80" s="3276"/>
      <c r="G80" s="3277"/>
    </row>
    <row r="81" spans="1:7">
      <c r="A81" s="3275" t="s">
        <v>110</v>
      </c>
      <c r="B81" s="3264" t="s">
        <v>2943</v>
      </c>
      <c r="C81" s="3265">
        <v>9.6000000000000002E-2</v>
      </c>
      <c r="D81" s="3276"/>
      <c r="E81" s="3265">
        <v>9.8000000000000004E-2</v>
      </c>
      <c r="F81" s="3276"/>
      <c r="G81" s="3277"/>
    </row>
    <row r="82" spans="1:7">
      <c r="A82" s="3275" t="s">
        <v>110</v>
      </c>
      <c r="B82" s="3264" t="s">
        <v>2950</v>
      </c>
      <c r="C82" s="3281"/>
      <c r="D82" s="3276"/>
      <c r="E82" s="3265">
        <v>7.6999999999999999E-2</v>
      </c>
      <c r="F82" s="3276"/>
      <c r="G82" s="3277"/>
    </row>
    <row r="83" spans="1:7">
      <c r="A83" s="3275" t="s">
        <v>110</v>
      </c>
      <c r="B83" s="3264" t="s">
        <v>2956</v>
      </c>
      <c r="C83" s="3276"/>
      <c r="D83" s="3276"/>
      <c r="E83" s="3276"/>
      <c r="F83" s="3265">
        <v>0.1</v>
      </c>
      <c r="G83" s="3282"/>
    </row>
    <row r="84" spans="1:7">
      <c r="A84" s="3275" t="s">
        <v>110</v>
      </c>
      <c r="B84" s="3264" t="s">
        <v>2963</v>
      </c>
      <c r="C84" s="3276"/>
      <c r="D84" s="3276"/>
      <c r="E84" s="3276"/>
      <c r="F84" s="3265">
        <v>0.1</v>
      </c>
      <c r="G84" s="3282"/>
    </row>
    <row r="85" spans="1:7">
      <c r="A85" s="3275" t="s">
        <v>110</v>
      </c>
      <c r="B85" s="3264" t="s">
        <v>2970</v>
      </c>
      <c r="C85" s="3276"/>
      <c r="D85" s="3276"/>
      <c r="E85" s="3276"/>
      <c r="F85" s="3265">
        <v>0.1</v>
      </c>
      <c r="G85" s="3282"/>
    </row>
    <row r="86" spans="1:7" ht="14.25" thickBot="1">
      <c r="A86" s="3278" t="s">
        <v>110</v>
      </c>
      <c r="B86" s="3268" t="s">
        <v>2975</v>
      </c>
      <c r="C86" s="3269">
        <v>9.8000000000000004E-2</v>
      </c>
      <c r="D86" s="3269">
        <v>9.8000000000000004E-2</v>
      </c>
      <c r="E86" s="3269">
        <v>9.6000000000000002E-2</v>
      </c>
      <c r="F86" s="3279"/>
      <c r="G86" s="3271">
        <v>0.1</v>
      </c>
    </row>
    <row r="87" spans="1:7">
      <c r="A87" s="3274" t="s">
        <v>303</v>
      </c>
      <c r="B87" s="3260" t="s">
        <v>2851</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2944</v>
      </c>
      <c r="C113" s="3265">
        <v>0.1</v>
      </c>
      <c r="D113" s="3265">
        <v>0.1</v>
      </c>
      <c r="E113" s="3276"/>
      <c r="F113" s="3276"/>
      <c r="G113" s="3266">
        <v>0.1</v>
      </c>
    </row>
    <row r="114" spans="1:7">
      <c r="A114" s="3275" t="s">
        <v>303</v>
      </c>
      <c r="B114" s="3264" t="s">
        <v>2951</v>
      </c>
      <c r="C114" s="3265">
        <v>9.7000000000000003E-2</v>
      </c>
      <c r="D114" s="3265">
        <v>9.7000000000000003E-2</v>
      </c>
      <c r="E114" s="3276"/>
      <c r="F114" s="3276"/>
      <c r="G114" s="3266">
        <v>9.9000000000000005E-2</v>
      </c>
    </row>
    <row r="115" spans="1:7">
      <c r="A115" s="3275" t="s">
        <v>303</v>
      </c>
      <c r="B115" s="3264" t="s">
        <v>2957</v>
      </c>
      <c r="C115" s="3265">
        <v>0.1</v>
      </c>
      <c r="D115" s="3265">
        <v>0.1</v>
      </c>
      <c r="E115" s="3276"/>
      <c r="F115" s="3276"/>
      <c r="G115" s="3266">
        <v>0.1</v>
      </c>
    </row>
    <row r="116" spans="1:7">
      <c r="A116" s="3275" t="s">
        <v>303</v>
      </c>
      <c r="B116" s="3264" t="s">
        <v>2964</v>
      </c>
      <c r="C116" s="3265">
        <v>0.1</v>
      </c>
      <c r="D116" s="3265">
        <v>0.1</v>
      </c>
      <c r="E116" s="3276"/>
      <c r="F116" s="3276"/>
      <c r="G116" s="3266">
        <v>0.1</v>
      </c>
    </row>
    <row r="117" spans="1:7">
      <c r="A117" s="3275" t="s">
        <v>303</v>
      </c>
      <c r="B117" s="3264" t="s">
        <v>2971</v>
      </c>
      <c r="C117" s="3265">
        <v>9.7000000000000003E-2</v>
      </c>
      <c r="D117" s="3265">
        <v>9.7000000000000003E-2</v>
      </c>
      <c r="E117" s="3276"/>
      <c r="F117" s="3276"/>
      <c r="G117" s="3266">
        <v>9.7000000000000003E-2</v>
      </c>
    </row>
    <row r="118" spans="1:7">
      <c r="A118" s="3275" t="s">
        <v>303</v>
      </c>
      <c r="B118" s="3264" t="s">
        <v>2976</v>
      </c>
      <c r="C118" s="3265">
        <v>0.1</v>
      </c>
      <c r="D118" s="3265">
        <v>0.1</v>
      </c>
      <c r="E118" s="3276"/>
      <c r="F118" s="3276"/>
      <c r="G118" s="3266">
        <v>0.1</v>
      </c>
    </row>
    <row r="119" spans="1:7">
      <c r="A119" s="3275" t="s">
        <v>303</v>
      </c>
      <c r="B119" s="3264" t="s">
        <v>2980</v>
      </c>
      <c r="C119" s="3265">
        <v>5.0999999999999997E-2</v>
      </c>
      <c r="D119" s="3265">
        <v>5.1999999999999998E-2</v>
      </c>
      <c r="E119" s="3276"/>
      <c r="F119" s="3281"/>
      <c r="G119" s="3266">
        <v>0.06</v>
      </c>
    </row>
    <row r="120" spans="1:7">
      <c r="A120" s="3275" t="s">
        <v>303</v>
      </c>
      <c r="B120" s="3264" t="s">
        <v>2984</v>
      </c>
      <c r="C120" s="3276"/>
      <c r="D120" s="3276"/>
      <c r="E120" s="3276"/>
      <c r="F120" s="3265">
        <v>0.1</v>
      </c>
      <c r="G120" s="3282"/>
    </row>
    <row r="121" spans="1:7">
      <c r="A121" s="3275" t="s">
        <v>303</v>
      </c>
      <c r="B121" s="3264" t="s">
        <v>2989</v>
      </c>
      <c r="C121" s="3276"/>
      <c r="D121" s="3276"/>
      <c r="E121" s="3276"/>
      <c r="F121" s="3265">
        <v>0.1</v>
      </c>
      <c r="G121" s="3282"/>
    </row>
    <row r="122" spans="1:7">
      <c r="A122" s="3275" t="s">
        <v>303</v>
      </c>
      <c r="B122" s="3264" t="s">
        <v>2994</v>
      </c>
      <c r="C122" s="3265">
        <v>0.1</v>
      </c>
      <c r="D122" s="3265">
        <v>0.1</v>
      </c>
      <c r="E122" s="3265">
        <v>9.8000000000000004E-2</v>
      </c>
      <c r="F122" s="3265">
        <v>0.1</v>
      </c>
      <c r="G122" s="3266">
        <v>0.1</v>
      </c>
    </row>
    <row r="123" spans="1:7">
      <c r="A123" s="3275" t="s">
        <v>303</v>
      </c>
      <c r="B123" s="3264" t="s">
        <v>2999</v>
      </c>
      <c r="C123" s="3265">
        <v>0.1</v>
      </c>
      <c r="D123" s="3265">
        <v>0.1</v>
      </c>
      <c r="E123" s="3265">
        <v>9.8000000000000004E-2</v>
      </c>
      <c r="F123" s="3265">
        <v>0.1</v>
      </c>
      <c r="G123" s="3266">
        <v>0.1</v>
      </c>
    </row>
    <row r="124" spans="1:7">
      <c r="A124" s="3275" t="s">
        <v>303</v>
      </c>
      <c r="B124" s="3264" t="s">
        <v>3004</v>
      </c>
      <c r="C124" s="3265">
        <v>0.1</v>
      </c>
      <c r="D124" s="3265">
        <v>0.1</v>
      </c>
      <c r="E124" s="3265">
        <v>9.8000000000000004E-2</v>
      </c>
      <c r="F124" s="3281"/>
      <c r="G124" s="3266">
        <v>0.1</v>
      </c>
    </row>
    <row r="125" spans="1:7">
      <c r="A125" s="3275" t="s">
        <v>303</v>
      </c>
      <c r="B125" s="3264" t="s">
        <v>3009</v>
      </c>
      <c r="C125" s="3265">
        <v>9.8000000000000004E-2</v>
      </c>
      <c r="D125" s="3265">
        <v>9.8000000000000004E-2</v>
      </c>
      <c r="E125" s="3265">
        <v>9.6000000000000002E-2</v>
      </c>
      <c r="F125" s="3281"/>
      <c r="G125" s="3266">
        <v>0.1</v>
      </c>
    </row>
    <row r="126" spans="1:7" ht="14.25" thickBot="1">
      <c r="A126" s="3278" t="s">
        <v>303</v>
      </c>
      <c r="B126" s="3268" t="s">
        <v>3175</v>
      </c>
      <c r="C126" s="3269">
        <v>0.1</v>
      </c>
      <c r="D126" s="3269">
        <v>0.1</v>
      </c>
      <c r="E126" s="3269">
        <v>9.8000000000000004E-2</v>
      </c>
      <c r="F126" s="3269">
        <v>0.1</v>
      </c>
      <c r="G126" s="3271">
        <v>0.1</v>
      </c>
    </row>
    <row r="127" spans="1:7">
      <c r="A127" s="3274" t="s">
        <v>29</v>
      </c>
      <c r="B127" s="3260" t="s">
        <v>2852</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2922</v>
      </c>
      <c r="C148" s="3265">
        <v>0.13</v>
      </c>
      <c r="D148" s="3265">
        <v>0.13</v>
      </c>
      <c r="E148" s="3265">
        <v>0.13</v>
      </c>
      <c r="F148" s="3276"/>
      <c r="G148" s="3266">
        <v>0.13</v>
      </c>
    </row>
    <row r="149" spans="1:7">
      <c r="A149" s="3275" t="s">
        <v>29</v>
      </c>
      <c r="B149" s="3264" t="s">
        <v>2926</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2945</v>
      </c>
      <c r="C153" s="3265">
        <v>0.13</v>
      </c>
      <c r="D153" s="3265">
        <v>0.13</v>
      </c>
      <c r="E153" s="3265">
        <v>0.13</v>
      </c>
      <c r="F153" s="3265">
        <v>0.13</v>
      </c>
      <c r="G153" s="3266">
        <v>0.13</v>
      </c>
    </row>
    <row r="154" spans="1:7">
      <c r="A154" s="3275" t="s">
        <v>29</v>
      </c>
      <c r="B154" s="3264" t="s">
        <v>2952</v>
      </c>
      <c r="C154" s="3265">
        <v>0.121</v>
      </c>
      <c r="D154" s="3265">
        <v>0.121</v>
      </c>
      <c r="E154" s="3265">
        <v>0.105</v>
      </c>
      <c r="F154" s="3265">
        <v>0.121</v>
      </c>
      <c r="G154" s="3266">
        <v>0.123</v>
      </c>
    </row>
    <row r="155" spans="1:7">
      <c r="A155" s="3275" t="s">
        <v>29</v>
      </c>
      <c r="B155" s="3264" t="s">
        <v>2958</v>
      </c>
      <c r="C155" s="3265">
        <v>0.1</v>
      </c>
      <c r="D155" s="3265">
        <v>0.1</v>
      </c>
      <c r="E155" s="3265">
        <v>0.1</v>
      </c>
      <c r="F155" s="3265">
        <v>0.1</v>
      </c>
      <c r="G155" s="3266">
        <v>0.1</v>
      </c>
    </row>
    <row r="156" spans="1:7">
      <c r="A156" s="3275" t="s">
        <v>29</v>
      </c>
      <c r="B156" s="3264" t="s">
        <v>2965</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2985</v>
      </c>
      <c r="C160" s="3265">
        <v>0.13</v>
      </c>
      <c r="D160" s="3265">
        <v>0.13</v>
      </c>
      <c r="E160" s="3265">
        <v>0.124</v>
      </c>
      <c r="F160" s="3265">
        <v>0.126</v>
      </c>
      <c r="G160" s="3266">
        <v>0.13</v>
      </c>
    </row>
    <row r="161" spans="1:7">
      <c r="A161" s="3275" t="s">
        <v>29</v>
      </c>
      <c r="B161" s="3264" t="s">
        <v>2990</v>
      </c>
      <c r="C161" s="3265">
        <v>0.13</v>
      </c>
      <c r="D161" s="3265">
        <v>0.13</v>
      </c>
      <c r="E161" s="3265">
        <v>0.124</v>
      </c>
      <c r="F161" s="3265">
        <v>0.127</v>
      </c>
      <c r="G161" s="3266">
        <v>0.13</v>
      </c>
    </row>
    <row r="162" spans="1:7">
      <c r="A162" s="3275" t="s">
        <v>29</v>
      </c>
      <c r="B162" s="3264" t="s">
        <v>2995</v>
      </c>
      <c r="C162" s="3265">
        <v>0.1</v>
      </c>
      <c r="D162" s="3265">
        <v>0.1</v>
      </c>
      <c r="E162" s="3265">
        <v>0.1</v>
      </c>
      <c r="F162" s="3265">
        <v>0.121</v>
      </c>
      <c r="G162" s="3266">
        <v>0.105</v>
      </c>
    </row>
    <row r="163" spans="1:7">
      <c r="A163" s="3275" t="s">
        <v>29</v>
      </c>
      <c r="B163" s="3264" t="s">
        <v>3000</v>
      </c>
      <c r="C163" s="3265">
        <v>0.1</v>
      </c>
      <c r="D163" s="3265">
        <v>0.1</v>
      </c>
      <c r="E163" s="3265">
        <v>0.1</v>
      </c>
      <c r="F163" s="3265">
        <v>0.1</v>
      </c>
      <c r="G163" s="3266">
        <v>0.1</v>
      </c>
    </row>
    <row r="164" spans="1:7">
      <c r="A164" s="3275" t="s">
        <v>29</v>
      </c>
      <c r="B164" s="3264" t="s">
        <v>3005</v>
      </c>
      <c r="C164" s="3281"/>
      <c r="D164" s="3281"/>
      <c r="E164" s="3281"/>
      <c r="F164" s="3265">
        <v>0.1</v>
      </c>
      <c r="G164" s="3277"/>
    </row>
    <row r="165" spans="1:7">
      <c r="A165" s="3275" t="s">
        <v>29</v>
      </c>
      <c r="B165" s="3264" t="s">
        <v>3176</v>
      </c>
      <c r="C165" s="3265">
        <v>0.126</v>
      </c>
      <c r="D165" s="3265">
        <v>0.126</v>
      </c>
      <c r="E165" s="3265">
        <v>0.11899999999999999</v>
      </c>
      <c r="F165" s="3265">
        <v>0.13</v>
      </c>
      <c r="G165" s="3266">
        <v>0.128</v>
      </c>
    </row>
    <row r="166" spans="1:7">
      <c r="A166" s="3275" t="s">
        <v>29</v>
      </c>
      <c r="B166" s="3264" t="s">
        <v>3015</v>
      </c>
      <c r="C166" s="3265">
        <v>0.129</v>
      </c>
      <c r="D166" s="3265">
        <v>0.129</v>
      </c>
      <c r="E166" s="3265">
        <v>0.123</v>
      </c>
      <c r="F166" s="3265">
        <v>0.128</v>
      </c>
      <c r="G166" s="3266">
        <v>0.13</v>
      </c>
    </row>
    <row r="167" spans="1:7">
      <c r="A167" s="3275" t="s">
        <v>29</v>
      </c>
      <c r="B167" s="3264" t="s">
        <v>3019</v>
      </c>
      <c r="C167" s="3265">
        <v>0.125</v>
      </c>
      <c r="D167" s="3265">
        <v>0.125</v>
      </c>
      <c r="E167" s="3265">
        <v>0.11700000000000001</v>
      </c>
      <c r="F167" s="3265">
        <v>0.13</v>
      </c>
      <c r="G167" s="3266">
        <v>0.126</v>
      </c>
    </row>
    <row r="168" spans="1:7">
      <c r="A168" s="3275" t="s">
        <v>29</v>
      </c>
      <c r="B168" s="3264" t="s">
        <v>3024</v>
      </c>
      <c r="C168" s="3265">
        <v>0.128</v>
      </c>
      <c r="D168" s="3265">
        <v>0.128</v>
      </c>
      <c r="E168" s="3265">
        <v>0.123</v>
      </c>
      <c r="F168" s="3276"/>
      <c r="G168" s="3266">
        <v>0.13</v>
      </c>
    </row>
    <row r="169" spans="1:7">
      <c r="A169" s="3275" t="s">
        <v>29</v>
      </c>
      <c r="B169" s="3264" t="s">
        <v>3177</v>
      </c>
      <c r="C169" s="3281"/>
      <c r="D169" s="3281"/>
      <c r="E169" s="3281"/>
      <c r="F169" s="3265">
        <v>0.05</v>
      </c>
      <c r="G169" s="3277"/>
    </row>
    <row r="170" spans="1:7">
      <c r="A170" s="3275" t="s">
        <v>29</v>
      </c>
      <c r="B170" s="3264" t="s">
        <v>3178</v>
      </c>
      <c r="C170" s="3281"/>
      <c r="D170" s="3281"/>
      <c r="E170" s="3281"/>
      <c r="F170" s="3265">
        <v>0.05</v>
      </c>
      <c r="G170" s="3277"/>
    </row>
    <row r="171" spans="1:7">
      <c r="A171" s="3275" t="s">
        <v>29</v>
      </c>
      <c r="B171" s="3264" t="s">
        <v>3179</v>
      </c>
      <c r="C171" s="3281"/>
      <c r="D171" s="3281"/>
      <c r="E171" s="3281"/>
      <c r="F171" s="3265">
        <v>0.05</v>
      </c>
      <c r="G171" s="3282"/>
    </row>
    <row r="172" spans="1:7">
      <c r="A172" s="3275" t="s">
        <v>29</v>
      </c>
      <c r="B172" s="3264" t="s">
        <v>3180</v>
      </c>
      <c r="C172" s="3281"/>
      <c r="D172" s="3281"/>
      <c r="E172" s="3281"/>
      <c r="F172" s="3265">
        <v>0.05</v>
      </c>
      <c r="G172" s="3282"/>
    </row>
    <row r="173" spans="1:7">
      <c r="A173" s="3275" t="s">
        <v>29</v>
      </c>
      <c r="B173" s="3264" t="s">
        <v>3181</v>
      </c>
      <c r="C173" s="3281"/>
      <c r="D173" s="3281"/>
      <c r="E173" s="3281"/>
      <c r="F173" s="3265">
        <v>0.05</v>
      </c>
      <c r="G173" s="3277"/>
    </row>
    <row r="174" spans="1:7">
      <c r="A174" s="3275" t="s">
        <v>29</v>
      </c>
      <c r="B174" s="3264" t="s">
        <v>3182</v>
      </c>
      <c r="C174" s="3281"/>
      <c r="D174" s="3281"/>
      <c r="E174" s="3281"/>
      <c r="F174" s="3265">
        <v>0.05</v>
      </c>
      <c r="G174" s="3277"/>
    </row>
    <row r="175" spans="1:7">
      <c r="A175" s="3275" t="s">
        <v>29</v>
      </c>
      <c r="B175" s="3264" t="s">
        <v>3183</v>
      </c>
      <c r="C175" s="3281"/>
      <c r="D175" s="3281"/>
      <c r="E175" s="3281"/>
      <c r="F175" s="3265">
        <v>0.05</v>
      </c>
      <c r="G175" s="3277"/>
    </row>
    <row r="176" spans="1:7">
      <c r="A176" s="3275" t="s">
        <v>29</v>
      </c>
      <c r="B176" s="3264" t="s">
        <v>3184</v>
      </c>
      <c r="C176" s="3281"/>
      <c r="D176" s="3281"/>
      <c r="E176" s="3281"/>
      <c r="F176" s="3265">
        <v>0.05</v>
      </c>
      <c r="G176" s="3277"/>
    </row>
    <row r="177" spans="1:7">
      <c r="A177" s="3275" t="s">
        <v>29</v>
      </c>
      <c r="B177" s="3264" t="s">
        <v>3185</v>
      </c>
      <c r="C177" s="3276"/>
      <c r="D177" s="3276"/>
      <c r="E177" s="3276"/>
      <c r="F177" s="3265">
        <v>0.05</v>
      </c>
      <c r="G177" s="3282"/>
    </row>
    <row r="178" spans="1:7">
      <c r="A178" s="3275" t="s">
        <v>29</v>
      </c>
      <c r="B178" s="3264" t="s">
        <v>3186</v>
      </c>
      <c r="C178" s="3276"/>
      <c r="D178" s="3276"/>
      <c r="E178" s="3276"/>
      <c r="F178" s="3265">
        <v>0.05</v>
      </c>
      <c r="G178" s="3282"/>
    </row>
    <row r="179" spans="1:7">
      <c r="A179" s="3275" t="s">
        <v>29</v>
      </c>
      <c r="B179" s="3264" t="s">
        <v>3187</v>
      </c>
      <c r="C179" s="3276"/>
      <c r="D179" s="3276"/>
      <c r="E179" s="3276"/>
      <c r="F179" s="3265">
        <v>0.05</v>
      </c>
      <c r="G179" s="3282"/>
    </row>
    <row r="180" spans="1:7">
      <c r="A180" s="3275" t="s">
        <v>29</v>
      </c>
      <c r="B180" s="3264" t="s">
        <v>3188</v>
      </c>
      <c r="C180" s="3276"/>
      <c r="D180" s="3276"/>
      <c r="E180" s="3276"/>
      <c r="F180" s="3265">
        <v>0.05</v>
      </c>
      <c r="G180" s="3282"/>
    </row>
    <row r="181" spans="1:7">
      <c r="A181" s="3275" t="s">
        <v>29</v>
      </c>
      <c r="B181" s="3264" t="s">
        <v>3189</v>
      </c>
      <c r="C181" s="3276"/>
      <c r="D181" s="3276"/>
      <c r="E181" s="3276"/>
      <c r="F181" s="3265">
        <v>0.05</v>
      </c>
      <c r="G181" s="3282"/>
    </row>
    <row r="182" spans="1:7">
      <c r="A182" s="3275" t="s">
        <v>29</v>
      </c>
      <c r="B182" s="3264" t="s">
        <v>3190</v>
      </c>
      <c r="C182" s="3276"/>
      <c r="D182" s="3276"/>
      <c r="E182" s="3276"/>
      <c r="F182" s="3265">
        <v>0.05</v>
      </c>
      <c r="G182" s="3282"/>
    </row>
    <row r="183" spans="1:7">
      <c r="A183" s="3275" t="s">
        <v>29</v>
      </c>
      <c r="B183" s="3264" t="s">
        <v>3191</v>
      </c>
      <c r="C183" s="3276"/>
      <c r="D183" s="3276"/>
      <c r="E183" s="3276"/>
      <c r="F183" s="3265">
        <v>0.05</v>
      </c>
      <c r="G183" s="3282"/>
    </row>
    <row r="184" spans="1:7">
      <c r="A184" s="3275" t="s">
        <v>29</v>
      </c>
      <c r="B184" s="3264" t="s">
        <v>3192</v>
      </c>
      <c r="C184" s="3276"/>
      <c r="D184" s="3276"/>
      <c r="E184" s="3276"/>
      <c r="F184" s="3265">
        <v>0.05</v>
      </c>
      <c r="G184" s="3282"/>
    </row>
    <row r="185" spans="1:7">
      <c r="A185" s="3275" t="s">
        <v>29</v>
      </c>
      <c r="B185" s="3264" t="s">
        <v>3193</v>
      </c>
      <c r="C185" s="3276"/>
      <c r="D185" s="3276"/>
      <c r="E185" s="3276"/>
      <c r="F185" s="3265">
        <v>0.05</v>
      </c>
      <c r="G185" s="3282"/>
    </row>
    <row r="186" spans="1:7">
      <c r="A186" s="3275" t="s">
        <v>29</v>
      </c>
      <c r="B186" s="3264" t="s">
        <v>3194</v>
      </c>
      <c r="C186" s="3276"/>
      <c r="D186" s="3276"/>
      <c r="E186" s="3276"/>
      <c r="F186" s="3265">
        <v>0.05</v>
      </c>
      <c r="G186" s="3282"/>
    </row>
    <row r="187" spans="1:7">
      <c r="A187" s="3275" t="s">
        <v>29</v>
      </c>
      <c r="B187" s="3264" t="s">
        <v>3195</v>
      </c>
      <c r="C187" s="3276"/>
      <c r="D187" s="3276"/>
      <c r="E187" s="3276"/>
      <c r="F187" s="3265">
        <v>0.05</v>
      </c>
      <c r="G187" s="3282"/>
    </row>
    <row r="188" spans="1:7">
      <c r="A188" s="3275" t="s">
        <v>29</v>
      </c>
      <c r="B188" s="3264" t="s">
        <v>3196</v>
      </c>
      <c r="C188" s="3276"/>
      <c r="D188" s="3276"/>
      <c r="E188" s="3276"/>
      <c r="F188" s="3265">
        <v>0.05</v>
      </c>
      <c r="G188" s="3282"/>
    </row>
    <row r="189" spans="1:7" ht="14.25" thickBot="1">
      <c r="A189" s="3278" t="s">
        <v>29</v>
      </c>
      <c r="B189" s="3268" t="s">
        <v>3197</v>
      </c>
      <c r="C189" s="3270"/>
      <c r="D189" s="3270"/>
      <c r="E189" s="3270"/>
      <c r="F189" s="3269">
        <v>0.05</v>
      </c>
      <c r="G189" s="3283"/>
    </row>
    <row r="190" spans="1:7">
      <c r="A190" s="3274" t="s">
        <v>304</v>
      </c>
      <c r="B190" s="3260" t="s">
        <v>2853</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2889</v>
      </c>
      <c r="C199" s="3265">
        <v>0.13</v>
      </c>
      <c r="D199" s="3265">
        <v>0.13</v>
      </c>
      <c r="E199" s="3265">
        <v>0.13</v>
      </c>
      <c r="F199" s="3265">
        <v>0.13</v>
      </c>
      <c r="G199" s="3266">
        <v>0.13</v>
      </c>
    </row>
    <row r="200" spans="1:7">
      <c r="A200" s="3275" t="s">
        <v>304</v>
      </c>
      <c r="B200" s="3264" t="s">
        <v>2892</v>
      </c>
      <c r="C200" s="3281"/>
      <c r="D200" s="3281"/>
      <c r="E200" s="3281"/>
      <c r="F200" s="3265">
        <v>0.13</v>
      </c>
      <c r="G200" s="3277"/>
    </row>
    <row r="201" spans="1:7">
      <c r="A201" s="3275" t="s">
        <v>304</v>
      </c>
      <c r="B201" s="3264" t="s">
        <v>2897</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2900</v>
      </c>
      <c r="C203" s="3265">
        <v>0.129</v>
      </c>
      <c r="D203" s="3265">
        <v>0.129</v>
      </c>
      <c r="E203" s="3265">
        <v>0.13</v>
      </c>
      <c r="F203" s="3265">
        <v>0.13</v>
      </c>
      <c r="G203" s="3266">
        <v>0.13</v>
      </c>
    </row>
    <row r="204" spans="1:7">
      <c r="A204" s="3275" t="s">
        <v>304</v>
      </c>
      <c r="B204" s="3264" t="s">
        <v>2903</v>
      </c>
      <c r="C204" s="3265">
        <v>0.129</v>
      </c>
      <c r="D204" s="3265">
        <v>0.129</v>
      </c>
      <c r="E204" s="3265">
        <v>0.123</v>
      </c>
      <c r="F204" s="3265">
        <v>0.13</v>
      </c>
      <c r="G204" s="3266">
        <v>0.13</v>
      </c>
    </row>
    <row r="205" spans="1:7">
      <c r="A205" s="3275" t="s">
        <v>304</v>
      </c>
      <c r="B205" s="3264" t="s">
        <v>2905</v>
      </c>
      <c r="C205" s="3265">
        <v>0.13</v>
      </c>
      <c r="D205" s="3265">
        <v>0.13</v>
      </c>
      <c r="E205" s="3265">
        <v>0.13</v>
      </c>
      <c r="F205" s="3265">
        <v>0.13</v>
      </c>
      <c r="G205" s="3266">
        <v>0.13</v>
      </c>
    </row>
    <row r="206" spans="1:7">
      <c r="A206" s="3275" t="s">
        <v>304</v>
      </c>
      <c r="B206" s="3264" t="s">
        <v>2908</v>
      </c>
      <c r="C206" s="3265">
        <v>0.13</v>
      </c>
      <c r="D206" s="3265">
        <v>0.13</v>
      </c>
      <c r="E206" s="3265">
        <v>0.13</v>
      </c>
      <c r="F206" s="3265">
        <v>0.128</v>
      </c>
      <c r="G206" s="3266">
        <v>0.13</v>
      </c>
    </row>
    <row r="207" spans="1:7">
      <c r="A207" s="3275" t="s">
        <v>304</v>
      </c>
      <c r="B207" s="3264" t="s">
        <v>2910</v>
      </c>
      <c r="C207" s="3265">
        <v>0.13</v>
      </c>
      <c r="D207" s="3265">
        <v>0.13</v>
      </c>
      <c r="E207" s="3265">
        <v>0.13</v>
      </c>
      <c r="F207" s="3265">
        <v>0.13</v>
      </c>
      <c r="G207" s="3266">
        <v>0.13</v>
      </c>
    </row>
    <row r="208" spans="1:7">
      <c r="A208" s="3275" t="s">
        <v>304</v>
      </c>
      <c r="B208" s="3264" t="s">
        <v>2913</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2920</v>
      </c>
      <c r="C210" s="3265">
        <v>0.121</v>
      </c>
      <c r="D210" s="3265">
        <v>0.121</v>
      </c>
      <c r="E210" s="3265">
        <v>0.125</v>
      </c>
      <c r="F210" s="3265">
        <v>0.13</v>
      </c>
      <c r="G210" s="3266">
        <v>0.123</v>
      </c>
    </row>
    <row r="211" spans="1:7">
      <c r="A211" s="3275" t="s">
        <v>304</v>
      </c>
      <c r="B211" s="3264" t="s">
        <v>2923</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2935</v>
      </c>
      <c r="C214" s="3265">
        <v>0.128</v>
      </c>
      <c r="D214" s="3265">
        <v>0.128</v>
      </c>
      <c r="E214" s="3265">
        <v>0.13</v>
      </c>
      <c r="F214" s="3265">
        <v>0.13</v>
      </c>
      <c r="G214" s="3266">
        <v>0.13</v>
      </c>
    </row>
    <row r="215" spans="1:7">
      <c r="A215" s="3275" t="s">
        <v>304</v>
      </c>
      <c r="B215" s="3264" t="s">
        <v>2939</v>
      </c>
      <c r="C215" s="3265">
        <v>0.13</v>
      </c>
      <c r="D215" s="3265">
        <v>0.13</v>
      </c>
      <c r="E215" s="3265">
        <v>0.13</v>
      </c>
      <c r="F215" s="3265">
        <v>0.129</v>
      </c>
      <c r="G215" s="3266">
        <v>0.13</v>
      </c>
    </row>
    <row r="216" spans="1:7">
      <c r="A216" s="3275" t="s">
        <v>304</v>
      </c>
      <c r="B216" s="3264" t="s">
        <v>2946</v>
      </c>
      <c r="C216" s="3265">
        <v>0.13</v>
      </c>
      <c r="D216" s="3265">
        <v>0.13</v>
      </c>
      <c r="E216" s="3265">
        <v>0.13</v>
      </c>
      <c r="F216" s="3265">
        <v>0.13</v>
      </c>
      <c r="G216" s="3266">
        <v>0.13</v>
      </c>
    </row>
    <row r="217" spans="1:7">
      <c r="A217" s="3275" t="s">
        <v>304</v>
      </c>
      <c r="B217" s="3264" t="s">
        <v>2953</v>
      </c>
      <c r="C217" s="3265">
        <v>0.129</v>
      </c>
      <c r="D217" s="3265">
        <v>0.129</v>
      </c>
      <c r="E217" s="3265">
        <v>0.13</v>
      </c>
      <c r="F217" s="3265">
        <v>0.13</v>
      </c>
      <c r="G217" s="3266">
        <v>0.13</v>
      </c>
    </row>
    <row r="218" spans="1:7">
      <c r="A218" s="3275" t="s">
        <v>304</v>
      </c>
      <c r="B218" s="3264" t="s">
        <v>2959</v>
      </c>
      <c r="C218" s="3276"/>
      <c r="D218" s="3276"/>
      <c r="E218" s="3276"/>
      <c r="F218" s="3265">
        <v>0.05</v>
      </c>
      <c r="G218" s="3282"/>
    </row>
    <row r="219" spans="1:7">
      <c r="A219" s="3275" t="s">
        <v>304</v>
      </c>
      <c r="B219" s="3264" t="s">
        <v>2966</v>
      </c>
      <c r="C219" s="3276"/>
      <c r="D219" s="3276"/>
      <c r="E219" s="3276"/>
      <c r="F219" s="3265">
        <v>0.05</v>
      </c>
      <c r="G219" s="3282"/>
    </row>
    <row r="220" spans="1:7">
      <c r="A220" s="3275" t="s">
        <v>304</v>
      </c>
      <c r="B220" s="3264" t="s">
        <v>2972</v>
      </c>
      <c r="C220" s="3276"/>
      <c r="D220" s="3276"/>
      <c r="E220" s="3276"/>
      <c r="F220" s="3265">
        <v>0.05</v>
      </c>
      <c r="G220" s="3282"/>
    </row>
    <row r="221" spans="1:7">
      <c r="A221" s="3275" t="s">
        <v>304</v>
      </c>
      <c r="B221" s="3264" t="s">
        <v>2977</v>
      </c>
      <c r="C221" s="3276"/>
      <c r="D221" s="3276"/>
      <c r="E221" s="3276"/>
      <c r="F221" s="3265">
        <v>0.05</v>
      </c>
      <c r="G221" s="3282"/>
    </row>
    <row r="222" spans="1:7">
      <c r="A222" s="3275" t="s">
        <v>304</v>
      </c>
      <c r="B222" s="3264" t="s">
        <v>2981</v>
      </c>
      <c r="C222" s="3276"/>
      <c r="D222" s="3276"/>
      <c r="E222" s="3276"/>
      <c r="F222" s="3265">
        <v>0.05</v>
      </c>
      <c r="G222" s="3282"/>
    </row>
    <row r="223" spans="1:7">
      <c r="A223" s="3275" t="s">
        <v>304</v>
      </c>
      <c r="B223" s="3264" t="s">
        <v>2986</v>
      </c>
      <c r="C223" s="3276"/>
      <c r="D223" s="3276"/>
      <c r="E223" s="3276"/>
      <c r="F223" s="3265">
        <v>0.05</v>
      </c>
      <c r="G223" s="3282"/>
    </row>
    <row r="224" spans="1:7">
      <c r="A224" s="3275" t="s">
        <v>304</v>
      </c>
      <c r="B224" s="3264" t="s">
        <v>2991</v>
      </c>
      <c r="C224" s="3276"/>
      <c r="D224" s="3276"/>
      <c r="E224" s="3276"/>
      <c r="F224" s="3265">
        <v>0.05</v>
      </c>
      <c r="G224" s="3282"/>
    </row>
    <row r="225" spans="1:7">
      <c r="A225" s="3275" t="s">
        <v>304</v>
      </c>
      <c r="B225" s="3264" t="s">
        <v>2996</v>
      </c>
      <c r="C225" s="3276"/>
      <c r="D225" s="3276"/>
      <c r="E225" s="3276"/>
      <c r="F225" s="3265">
        <v>0.05</v>
      </c>
      <c r="G225" s="3282"/>
    </row>
    <row r="226" spans="1:7">
      <c r="A226" s="3275" t="s">
        <v>304</v>
      </c>
      <c r="B226" s="3264" t="s">
        <v>3198</v>
      </c>
      <c r="C226" s="3276"/>
      <c r="D226" s="3276"/>
      <c r="E226" s="3276"/>
      <c r="F226" s="3265">
        <v>0.05</v>
      </c>
      <c r="G226" s="3282"/>
    </row>
    <row r="227" spans="1:7">
      <c r="A227" s="3275" t="s">
        <v>304</v>
      </c>
      <c r="B227" s="3264" t="s">
        <v>3199</v>
      </c>
      <c r="C227" s="3276"/>
      <c r="D227" s="3276"/>
      <c r="E227" s="3276"/>
      <c r="F227" s="3265">
        <v>0.05</v>
      </c>
      <c r="G227" s="3282"/>
    </row>
    <row r="228" spans="1:7">
      <c r="A228" s="3275" t="s">
        <v>304</v>
      </c>
      <c r="B228" s="3264" t="s">
        <v>3200</v>
      </c>
      <c r="C228" s="3276"/>
      <c r="D228" s="3276"/>
      <c r="E228" s="3276"/>
      <c r="F228" s="3265">
        <v>0.05</v>
      </c>
      <c r="G228" s="3282"/>
    </row>
    <row r="229" spans="1:7">
      <c r="A229" s="3275" t="s">
        <v>304</v>
      </c>
      <c r="B229" s="3264" t="s">
        <v>3201</v>
      </c>
      <c r="C229" s="3276"/>
      <c r="D229" s="3276"/>
      <c r="E229" s="3276"/>
      <c r="F229" s="3265">
        <v>0.05</v>
      </c>
      <c r="G229" s="3282"/>
    </row>
    <row r="230" spans="1:7">
      <c r="A230" s="3275" t="s">
        <v>304</v>
      </c>
      <c r="B230" s="3264" t="s">
        <v>3202</v>
      </c>
      <c r="C230" s="3276"/>
      <c r="D230" s="3276"/>
      <c r="E230" s="3276"/>
      <c r="F230" s="3265">
        <v>0.05</v>
      </c>
      <c r="G230" s="3282"/>
    </row>
    <row r="231" spans="1:7">
      <c r="A231" s="3275" t="s">
        <v>304</v>
      </c>
      <c r="B231" s="3264" t="s">
        <v>3203</v>
      </c>
      <c r="C231" s="3276"/>
      <c r="D231" s="3276"/>
      <c r="E231" s="3276"/>
      <c r="F231" s="3265">
        <v>0.05</v>
      </c>
      <c r="G231" s="3282"/>
    </row>
    <row r="232" spans="1:7">
      <c r="A232" s="3275" t="s">
        <v>304</v>
      </c>
      <c r="B232" s="3264" t="s">
        <v>3204</v>
      </c>
      <c r="C232" s="3276"/>
      <c r="D232" s="3276"/>
      <c r="E232" s="3276"/>
      <c r="F232" s="3265">
        <v>0.05</v>
      </c>
      <c r="G232" s="3282"/>
    </row>
    <row r="233" spans="1:7" ht="14.25" thickBot="1">
      <c r="A233" s="3278" t="s">
        <v>304</v>
      </c>
      <c r="B233" s="3268" t="s">
        <v>3205</v>
      </c>
      <c r="C233" s="3270"/>
      <c r="D233" s="3270"/>
      <c r="E233" s="3270"/>
      <c r="F233" s="3269">
        <v>0.05</v>
      </c>
      <c r="G233" s="3283"/>
    </row>
    <row r="234" spans="1:7">
      <c r="A234" s="3274" t="s">
        <v>305</v>
      </c>
      <c r="B234" s="3260" t="s">
        <v>2854</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2874</v>
      </c>
      <c r="C238" s="3265">
        <v>0.14899999999999999</v>
      </c>
      <c r="D238" s="3265">
        <v>0.14899999999999999</v>
      </c>
      <c r="E238" s="3265">
        <v>0.15</v>
      </c>
      <c r="F238" s="3265">
        <v>0.15</v>
      </c>
      <c r="G238" s="3266">
        <v>0.15</v>
      </c>
    </row>
    <row r="239" spans="1:7">
      <c r="A239" s="3275" t="s">
        <v>305</v>
      </c>
      <c r="B239" s="3264" t="s">
        <v>2878</v>
      </c>
      <c r="C239" s="3265">
        <v>0.15</v>
      </c>
      <c r="D239" s="3265">
        <v>0.15</v>
      </c>
      <c r="E239" s="3265">
        <v>0.15</v>
      </c>
      <c r="F239" s="3265">
        <v>0.15</v>
      </c>
      <c r="G239" s="3266">
        <v>0.15</v>
      </c>
    </row>
    <row r="240" spans="1:7">
      <c r="A240" s="3275" t="s">
        <v>305</v>
      </c>
      <c r="B240" s="3264" t="s">
        <v>2883</v>
      </c>
      <c r="C240" s="3265">
        <v>0.15</v>
      </c>
      <c r="D240" s="3265">
        <v>0.15</v>
      </c>
      <c r="E240" s="3265">
        <v>0.15</v>
      </c>
      <c r="F240" s="3265">
        <v>0.15</v>
      </c>
      <c r="G240" s="3266">
        <v>0.15</v>
      </c>
    </row>
    <row r="241" spans="1:7">
      <c r="A241" s="3275" t="s">
        <v>305</v>
      </c>
      <c r="B241" s="3264" t="s">
        <v>2887</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2893</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2901</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2906</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2914</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2927</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2936</v>
      </c>
      <c r="C258" s="3265">
        <v>0.14299999999999999</v>
      </c>
      <c r="D258" s="3265">
        <v>0.14299999999999999</v>
      </c>
      <c r="E258" s="3265">
        <v>0.15</v>
      </c>
      <c r="F258" s="3265">
        <v>0.14799999999999999</v>
      </c>
      <c r="G258" s="3266">
        <v>0.14599999999999999</v>
      </c>
    </row>
    <row r="259" spans="1:7">
      <c r="A259" s="3275" t="s">
        <v>305</v>
      </c>
      <c r="B259" s="3264" t="s">
        <v>2940</v>
      </c>
      <c r="C259" s="3265">
        <v>0.14399999999999999</v>
      </c>
      <c r="D259" s="3265">
        <v>0.14399999999999999</v>
      </c>
      <c r="E259" s="3265">
        <v>0.14899999999999999</v>
      </c>
      <c r="F259" s="3265">
        <v>0.14699999999999999</v>
      </c>
      <c r="G259" s="3266">
        <v>0.14599999999999999</v>
      </c>
    </row>
    <row r="260" spans="1:7">
      <c r="A260" s="3275" t="s">
        <v>305</v>
      </c>
      <c r="B260" s="3264" t="s">
        <v>2947</v>
      </c>
      <c r="C260" s="3265">
        <v>0.109</v>
      </c>
      <c r="D260" s="3265">
        <v>0.111</v>
      </c>
      <c r="E260" s="3265">
        <v>0.13100000000000001</v>
      </c>
      <c r="F260" s="3265">
        <v>0.126</v>
      </c>
      <c r="G260" s="3266">
        <v>0.11899999999999999</v>
      </c>
    </row>
    <row r="261" spans="1:7">
      <c r="A261" s="3275" t="s">
        <v>305</v>
      </c>
      <c r="B261" s="3264" t="s">
        <v>2954</v>
      </c>
      <c r="C261" s="3265">
        <v>0.1</v>
      </c>
      <c r="D261" s="3265">
        <v>0.1</v>
      </c>
      <c r="E261" s="3265">
        <v>0.11799999999999999</v>
      </c>
      <c r="F261" s="3265">
        <v>0.108</v>
      </c>
      <c r="G261" s="3266">
        <v>0.107</v>
      </c>
    </row>
    <row r="262" spans="1:7">
      <c r="A262" s="3275" t="s">
        <v>305</v>
      </c>
      <c r="B262" s="3264" t="s">
        <v>2960</v>
      </c>
      <c r="C262" s="3265">
        <v>0.1</v>
      </c>
      <c r="D262" s="3265">
        <v>0.1</v>
      </c>
      <c r="E262" s="3265">
        <v>0.1</v>
      </c>
      <c r="F262" s="3265">
        <v>0.14099999999999999</v>
      </c>
      <c r="G262" s="3266">
        <v>0.1</v>
      </c>
    </row>
    <row r="263" spans="1:7">
      <c r="A263" s="3275" t="s">
        <v>305</v>
      </c>
      <c r="B263" s="3264" t="s">
        <v>2967</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2978</v>
      </c>
      <c r="C265" s="3276"/>
      <c r="D265" s="3276"/>
      <c r="E265" s="3276"/>
      <c r="F265" s="3265">
        <v>0.05</v>
      </c>
      <c r="G265" s="3282"/>
    </row>
    <row r="266" spans="1:7">
      <c r="A266" s="3275" t="s">
        <v>305</v>
      </c>
      <c r="B266" s="3264" t="s">
        <v>2982</v>
      </c>
      <c r="C266" s="3276"/>
      <c r="D266" s="3276"/>
      <c r="E266" s="3276"/>
      <c r="F266" s="3265">
        <v>0.05</v>
      </c>
      <c r="G266" s="3282"/>
    </row>
    <row r="267" spans="1:7">
      <c r="A267" s="3275" t="s">
        <v>305</v>
      </c>
      <c r="B267" s="3264" t="s">
        <v>2987</v>
      </c>
      <c r="C267" s="3276"/>
      <c r="D267" s="3276"/>
      <c r="E267" s="3276"/>
      <c r="F267" s="3265">
        <v>0.05</v>
      </c>
      <c r="G267" s="3282"/>
    </row>
    <row r="268" spans="1:7">
      <c r="A268" s="3275" t="s">
        <v>305</v>
      </c>
      <c r="B268" s="3264" t="s">
        <v>2992</v>
      </c>
      <c r="C268" s="3276"/>
      <c r="D268" s="3276"/>
      <c r="E268" s="3276"/>
      <c r="F268" s="3265">
        <v>0.05</v>
      </c>
      <c r="G268" s="3282"/>
    </row>
    <row r="269" spans="1:7">
      <c r="A269" s="3275" t="s">
        <v>305</v>
      </c>
      <c r="B269" s="3264" t="s">
        <v>2997</v>
      </c>
      <c r="C269" s="3276"/>
      <c r="D269" s="3276"/>
      <c r="E269" s="3276"/>
      <c r="F269" s="3265">
        <v>0.05</v>
      </c>
      <c r="G269" s="3282"/>
    </row>
    <row r="270" spans="1:7">
      <c r="A270" s="3275" t="s">
        <v>305</v>
      </c>
      <c r="B270" s="3264" t="s">
        <v>3002</v>
      </c>
      <c r="C270" s="3276"/>
      <c r="D270" s="3276"/>
      <c r="E270" s="3276"/>
      <c r="F270" s="3265">
        <v>0.05</v>
      </c>
      <c r="G270" s="3282"/>
    </row>
    <row r="271" spans="1:7">
      <c r="A271" s="3275" t="s">
        <v>305</v>
      </c>
      <c r="B271" s="3264" t="s">
        <v>3206</v>
      </c>
      <c r="C271" s="3276"/>
      <c r="D271" s="3276"/>
      <c r="E271" s="3276"/>
      <c r="F271" s="3265">
        <v>0.05</v>
      </c>
      <c r="G271" s="3282"/>
    </row>
    <row r="272" spans="1:7">
      <c r="A272" s="3275" t="s">
        <v>305</v>
      </c>
      <c r="B272" s="3264" t="s">
        <v>3207</v>
      </c>
      <c r="C272" s="3276"/>
      <c r="D272" s="3276"/>
      <c r="E272" s="3276"/>
      <c r="F272" s="3265">
        <v>0.05</v>
      </c>
      <c r="G272" s="3282"/>
    </row>
    <row r="273" spans="1:7">
      <c r="A273" s="3275" t="s">
        <v>305</v>
      </c>
      <c r="B273" s="3264" t="s">
        <v>3208</v>
      </c>
      <c r="C273" s="3276"/>
      <c r="D273" s="3276"/>
      <c r="E273" s="3276"/>
      <c r="F273" s="3265">
        <v>0.05</v>
      </c>
      <c r="G273" s="3282"/>
    </row>
    <row r="274" spans="1:7">
      <c r="A274" s="3275" t="s">
        <v>305</v>
      </c>
      <c r="B274" s="3264" t="s">
        <v>3209</v>
      </c>
      <c r="C274" s="3276"/>
      <c r="D274" s="3276"/>
      <c r="E274" s="3276"/>
      <c r="F274" s="3265">
        <v>0.05</v>
      </c>
      <c r="G274" s="3282"/>
    </row>
    <row r="275" spans="1:7">
      <c r="A275" s="3275" t="s">
        <v>305</v>
      </c>
      <c r="B275" s="3264" t="s">
        <v>3210</v>
      </c>
      <c r="C275" s="3276"/>
      <c r="D275" s="3276"/>
      <c r="E275" s="3276"/>
      <c r="F275" s="3265">
        <v>0.05</v>
      </c>
      <c r="G275" s="3282"/>
    </row>
    <row r="276" spans="1:7" ht="14.25" thickBot="1">
      <c r="A276" s="3278" t="s">
        <v>305</v>
      </c>
      <c r="B276" s="3268" t="s">
        <v>3211</v>
      </c>
      <c r="C276" s="3270"/>
      <c r="D276" s="3270"/>
      <c r="E276" s="3270"/>
      <c r="F276" s="3269">
        <v>0.05</v>
      </c>
      <c r="G276" s="3283"/>
    </row>
    <row r="277" spans="1:7">
      <c r="A277" s="3274" t="s">
        <v>306</v>
      </c>
      <c r="B277" s="3260" t="s">
        <v>2855</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2867</v>
      </c>
      <c r="C279" s="3265">
        <v>0.15</v>
      </c>
      <c r="D279" s="3265">
        <v>0.15</v>
      </c>
      <c r="E279" s="3265">
        <v>0.15</v>
      </c>
      <c r="F279" s="3265">
        <v>0.15</v>
      </c>
      <c r="G279" s="3266">
        <v>0.15</v>
      </c>
    </row>
    <row r="280" spans="1:7">
      <c r="A280" s="3275" t="s">
        <v>306</v>
      </c>
      <c r="B280" s="3264" t="s">
        <v>2871</v>
      </c>
      <c r="C280" s="3265">
        <v>0.15</v>
      </c>
      <c r="D280" s="3265">
        <v>0.15</v>
      </c>
      <c r="E280" s="3265">
        <v>0.15</v>
      </c>
      <c r="F280" s="3265">
        <v>0.15</v>
      </c>
      <c r="G280" s="3266">
        <v>0.15</v>
      </c>
    </row>
    <row r="281" spans="1:7">
      <c r="A281" s="3275" t="s">
        <v>306</v>
      </c>
      <c r="B281" s="3264" t="s">
        <v>2875</v>
      </c>
      <c r="C281" s="3265">
        <v>0.15</v>
      </c>
      <c r="D281" s="3265">
        <v>0.15</v>
      </c>
      <c r="E281" s="3265">
        <v>0.15</v>
      </c>
      <c r="F281" s="3265">
        <v>0.15</v>
      </c>
      <c r="G281" s="3266">
        <v>0.15</v>
      </c>
    </row>
    <row r="282" spans="1:7">
      <c r="A282" s="3275" t="s">
        <v>306</v>
      </c>
      <c r="B282" s="3264" t="s">
        <v>2879</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2894</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2899</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2909</v>
      </c>
      <c r="C293" s="3265">
        <v>0.15</v>
      </c>
      <c r="D293" s="3265">
        <v>0.15</v>
      </c>
      <c r="E293" s="3265">
        <v>0.15</v>
      </c>
      <c r="F293" s="3265">
        <v>0.14499999999999999</v>
      </c>
      <c r="G293" s="3266">
        <v>0.15</v>
      </c>
    </row>
    <row r="294" spans="1:7">
      <c r="A294" s="3275" t="s">
        <v>306</v>
      </c>
      <c r="B294" s="3264" t="s">
        <v>2911</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2928</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2941</v>
      </c>
      <c r="C302" s="3265">
        <v>0.15</v>
      </c>
      <c r="D302" s="3265">
        <v>0.15</v>
      </c>
      <c r="E302" s="3265">
        <v>0.15</v>
      </c>
      <c r="F302" s="3265">
        <v>0.14699999999999999</v>
      </c>
      <c r="G302" s="3266">
        <v>0.15</v>
      </c>
    </row>
    <row r="303" spans="1:7">
      <c r="A303" s="3275" t="s">
        <v>306</v>
      </c>
      <c r="B303" s="3264" t="s">
        <v>2948</v>
      </c>
      <c r="C303" s="3265">
        <v>0.15</v>
      </c>
      <c r="D303" s="3265">
        <v>0.15</v>
      </c>
      <c r="E303" s="3265">
        <v>0.15</v>
      </c>
      <c r="F303" s="3265">
        <v>0.14199999999999999</v>
      </c>
      <c r="G303" s="3266">
        <v>0.15</v>
      </c>
    </row>
    <row r="304" spans="1:7">
      <c r="A304" s="3275" t="s">
        <v>306</v>
      </c>
      <c r="B304" s="3264" t="s">
        <v>2955</v>
      </c>
      <c r="C304" s="3265">
        <v>0.15</v>
      </c>
      <c r="D304" s="3265">
        <v>0.15</v>
      </c>
      <c r="E304" s="3265">
        <v>0.15</v>
      </c>
      <c r="F304" s="3265">
        <v>0.14499999999999999</v>
      </c>
      <c r="G304" s="3266">
        <v>0.15</v>
      </c>
    </row>
    <row r="305" spans="1:7">
      <c r="A305" s="3275" t="s">
        <v>306</v>
      </c>
      <c r="B305" s="3264" t="s">
        <v>2961</v>
      </c>
      <c r="C305" s="3265">
        <v>0.15</v>
      </c>
      <c r="D305" s="3265">
        <v>0.15</v>
      </c>
      <c r="E305" s="3265">
        <v>0.15</v>
      </c>
      <c r="F305" s="3265">
        <v>0.111</v>
      </c>
      <c r="G305" s="3266">
        <v>0.15</v>
      </c>
    </row>
    <row r="306" spans="1:7">
      <c r="A306" s="3275" t="s">
        <v>306</v>
      </c>
      <c r="B306" s="3264" t="s">
        <v>2968</v>
      </c>
      <c r="C306" s="3265">
        <v>0.15</v>
      </c>
      <c r="D306" s="3265">
        <v>0.15</v>
      </c>
      <c r="E306" s="3265">
        <v>0.15</v>
      </c>
      <c r="F306" s="3265">
        <v>0.126</v>
      </c>
      <c r="G306" s="3266">
        <v>0.15</v>
      </c>
    </row>
    <row r="307" spans="1:7">
      <c r="A307" s="3275" t="s">
        <v>306</v>
      </c>
      <c r="B307" s="3264" t="s">
        <v>2973</v>
      </c>
      <c r="C307" s="3265">
        <v>0.15</v>
      </c>
      <c r="D307" s="3265">
        <v>0.15</v>
      </c>
      <c r="E307" s="3265">
        <v>0.15</v>
      </c>
      <c r="F307" s="3265">
        <v>0.12</v>
      </c>
      <c r="G307" s="3266">
        <v>0.15</v>
      </c>
    </row>
    <row r="308" spans="1:7">
      <c r="A308" s="3275" t="s">
        <v>306</v>
      </c>
      <c r="B308" s="3264" t="s">
        <v>2979</v>
      </c>
      <c r="C308" s="3265">
        <v>0.15</v>
      </c>
      <c r="D308" s="3265">
        <v>0.15</v>
      </c>
      <c r="E308" s="3265">
        <v>0.15</v>
      </c>
      <c r="F308" s="3265">
        <v>0.13</v>
      </c>
      <c r="G308" s="3266">
        <v>0.15</v>
      </c>
    </row>
    <row r="309" spans="1:7">
      <c r="A309" s="3275" t="s">
        <v>306</v>
      </c>
      <c r="B309" s="3264" t="s">
        <v>2983</v>
      </c>
      <c r="C309" s="3265">
        <v>0.15</v>
      </c>
      <c r="D309" s="3265">
        <v>0.15</v>
      </c>
      <c r="E309" s="3265">
        <v>0.15</v>
      </c>
      <c r="F309" s="3265">
        <v>0.14099999999999999</v>
      </c>
      <c r="G309" s="3266">
        <v>0.15</v>
      </c>
    </row>
    <row r="310" spans="1:7">
      <c r="A310" s="3275" t="s">
        <v>306</v>
      </c>
      <c r="B310" s="3264" t="s">
        <v>2988</v>
      </c>
      <c r="C310" s="3265">
        <v>0.15</v>
      </c>
      <c r="D310" s="3265">
        <v>0.15</v>
      </c>
      <c r="E310" s="3265">
        <v>0.15</v>
      </c>
      <c r="F310" s="3265">
        <v>0.15</v>
      </c>
      <c r="G310" s="3266">
        <v>0.15</v>
      </c>
    </row>
    <row r="311" spans="1:7">
      <c r="A311" s="3275" t="s">
        <v>306</v>
      </c>
      <c r="B311" s="3264" t="s">
        <v>2993</v>
      </c>
      <c r="C311" s="3265">
        <v>0.13200000000000001</v>
      </c>
      <c r="D311" s="3265">
        <v>0.13300000000000001</v>
      </c>
      <c r="E311" s="3265">
        <v>0.14499999999999999</v>
      </c>
      <c r="F311" s="3265">
        <v>0.14199999999999999</v>
      </c>
      <c r="G311" s="3266">
        <v>0.14000000000000001</v>
      </c>
    </row>
    <row r="312" spans="1:7">
      <c r="A312" s="3275" t="s">
        <v>306</v>
      </c>
      <c r="B312" s="3264" t="s">
        <v>2998</v>
      </c>
      <c r="C312" s="3265">
        <v>0.13800000000000001</v>
      </c>
      <c r="D312" s="3265">
        <v>0.14000000000000001</v>
      </c>
      <c r="E312" s="3265">
        <v>0.14599999999999999</v>
      </c>
      <c r="F312" s="3265">
        <v>0.14899999999999999</v>
      </c>
      <c r="G312" s="3266">
        <v>0.14199999999999999</v>
      </c>
    </row>
    <row r="313" spans="1:7">
      <c r="A313" s="3275" t="s">
        <v>306</v>
      </c>
      <c r="B313" s="3264" t="s">
        <v>3003</v>
      </c>
      <c r="C313" s="3265">
        <v>0.125</v>
      </c>
      <c r="D313" s="3265">
        <v>0.127</v>
      </c>
      <c r="E313" s="3265">
        <v>0.14399999999999999</v>
      </c>
      <c r="F313" s="3265">
        <v>0.115</v>
      </c>
      <c r="G313" s="3266">
        <v>0.13600000000000001</v>
      </c>
    </row>
    <row r="314" spans="1:7">
      <c r="A314" s="3275" t="s">
        <v>306</v>
      </c>
      <c r="B314" s="3264" t="s">
        <v>3212</v>
      </c>
      <c r="C314" s="3281"/>
      <c r="D314" s="3281"/>
      <c r="E314" s="3281"/>
      <c r="F314" s="3265">
        <v>0.05</v>
      </c>
      <c r="G314" s="3282"/>
    </row>
    <row r="315" spans="1:7">
      <c r="A315" s="3275" t="s">
        <v>306</v>
      </c>
      <c r="B315" s="3264" t="s">
        <v>3213</v>
      </c>
      <c r="C315" s="3281"/>
      <c r="D315" s="3281"/>
      <c r="E315" s="3281"/>
      <c r="F315" s="3265">
        <v>0.05</v>
      </c>
      <c r="G315" s="3282"/>
    </row>
    <row r="316" spans="1:7">
      <c r="A316" s="3275" t="s">
        <v>306</v>
      </c>
      <c r="B316" s="3264" t="s">
        <v>3214</v>
      </c>
      <c r="C316" s="3276"/>
      <c r="D316" s="3276"/>
      <c r="E316" s="3276"/>
      <c r="F316" s="3265">
        <v>0.05</v>
      </c>
      <c r="G316" s="3282"/>
    </row>
    <row r="317" spans="1:7">
      <c r="A317" s="3275" t="s">
        <v>306</v>
      </c>
      <c r="B317" s="3264" t="s">
        <v>3215</v>
      </c>
      <c r="C317" s="3276"/>
      <c r="D317" s="3276"/>
      <c r="E317" s="3276"/>
      <c r="F317" s="3265">
        <v>0.05</v>
      </c>
      <c r="G317" s="3282"/>
    </row>
    <row r="318" spans="1:7">
      <c r="A318" s="3275" t="s">
        <v>306</v>
      </c>
      <c r="B318" s="3264" t="s">
        <v>3216</v>
      </c>
      <c r="C318" s="3276"/>
      <c r="D318" s="3276"/>
      <c r="E318" s="3276"/>
      <c r="F318" s="3265">
        <v>0.05</v>
      </c>
      <c r="G318" s="3282"/>
    </row>
    <row r="319" spans="1:7">
      <c r="A319" s="3275" t="s">
        <v>306</v>
      </c>
      <c r="B319" s="3264" t="s">
        <v>3217</v>
      </c>
      <c r="C319" s="3276"/>
      <c r="D319" s="3276"/>
      <c r="E319" s="3276"/>
      <c r="F319" s="3265">
        <v>0.05</v>
      </c>
      <c r="G319" s="3282"/>
    </row>
    <row r="320" spans="1:7">
      <c r="A320" s="3275" t="s">
        <v>306</v>
      </c>
      <c r="B320" s="3264" t="s">
        <v>3218</v>
      </c>
      <c r="C320" s="3276"/>
      <c r="D320" s="3276"/>
      <c r="E320" s="3276"/>
      <c r="F320" s="3265">
        <v>0.05</v>
      </c>
      <c r="G320" s="3282"/>
    </row>
    <row r="321" spans="1:7">
      <c r="A321" s="3275" t="s">
        <v>306</v>
      </c>
      <c r="B321" s="3264" t="s">
        <v>3219</v>
      </c>
      <c r="C321" s="3276"/>
      <c r="D321" s="3276"/>
      <c r="E321" s="3276"/>
      <c r="F321" s="3265">
        <v>0.05</v>
      </c>
      <c r="G321" s="3282"/>
    </row>
    <row r="322" spans="1:7">
      <c r="A322" s="3275" t="s">
        <v>306</v>
      </c>
      <c r="B322" s="3264" t="s">
        <v>3220</v>
      </c>
      <c r="C322" s="3276"/>
      <c r="D322" s="3276"/>
      <c r="E322" s="3276"/>
      <c r="F322" s="3265">
        <v>0.05</v>
      </c>
      <c r="G322" s="3282"/>
    </row>
    <row r="323" spans="1:7">
      <c r="A323" s="3275" t="s">
        <v>306</v>
      </c>
      <c r="B323" s="3264" t="s">
        <v>3221</v>
      </c>
      <c r="C323" s="3276"/>
      <c r="D323" s="3276"/>
      <c r="E323" s="3276"/>
      <c r="F323" s="3265">
        <v>0.05</v>
      </c>
      <c r="G323" s="3282"/>
    </row>
    <row r="324" spans="1:7">
      <c r="A324" s="3275" t="s">
        <v>306</v>
      </c>
      <c r="B324" s="3264" t="s">
        <v>3222</v>
      </c>
      <c r="C324" s="3276"/>
      <c r="D324" s="3276"/>
      <c r="E324" s="3276"/>
      <c r="F324" s="3265">
        <v>0.05</v>
      </c>
      <c r="G324" s="3282"/>
    </row>
    <row r="325" spans="1:7">
      <c r="A325" s="3275" t="s">
        <v>306</v>
      </c>
      <c r="B325" s="3264" t="s">
        <v>3223</v>
      </c>
      <c r="C325" s="3276"/>
      <c r="D325" s="3276"/>
      <c r="E325" s="3276"/>
      <c r="F325" s="3265">
        <v>0.05</v>
      </c>
      <c r="G325" s="3282"/>
    </row>
    <row r="326" spans="1:7" ht="14.25" thickBot="1">
      <c r="A326" s="3278" t="s">
        <v>306</v>
      </c>
      <c r="B326" s="3268" t="s">
        <v>3224</v>
      </c>
      <c r="C326" s="3270"/>
      <c r="D326" s="3270"/>
      <c r="E326" s="3270"/>
      <c r="F326" s="3269">
        <v>0.05</v>
      </c>
      <c r="G326" s="3283"/>
    </row>
    <row r="327" spans="1:7">
      <c r="A327" s="3274" t="s">
        <v>307</v>
      </c>
      <c r="B327" s="3260" t="s">
        <v>2856</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2868</v>
      </c>
      <c r="C329" s="3265">
        <v>0.15</v>
      </c>
      <c r="D329" s="3265">
        <v>0.15</v>
      </c>
      <c r="E329" s="3265">
        <v>0.15</v>
      </c>
      <c r="F329" s="3265">
        <v>0.15</v>
      </c>
      <c r="G329" s="3266">
        <v>0.15</v>
      </c>
    </row>
    <row r="330" spans="1:7">
      <c r="A330" s="3275" t="s">
        <v>307</v>
      </c>
      <c r="B330" s="3264" t="s">
        <v>2872</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2880</v>
      </c>
      <c r="C332" s="3265">
        <v>0.15</v>
      </c>
      <c r="D332" s="3265">
        <v>0.15</v>
      </c>
      <c r="E332" s="3265">
        <v>0.15</v>
      </c>
      <c r="F332" s="3265">
        <v>0.15</v>
      </c>
      <c r="G332" s="3266">
        <v>0.15</v>
      </c>
    </row>
    <row r="333" spans="1:7">
      <c r="A333" s="3275" t="s">
        <v>307</v>
      </c>
      <c r="B333" s="3264" t="s">
        <v>2884</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2890</v>
      </c>
      <c r="C336" s="3265">
        <v>0.15</v>
      </c>
      <c r="D336" s="3265">
        <v>0.15</v>
      </c>
      <c r="E336" s="3265">
        <v>0.15</v>
      </c>
      <c r="F336" s="3265">
        <v>0.14199999999999999</v>
      </c>
      <c r="G336" s="3266">
        <v>0.15</v>
      </c>
    </row>
    <row r="337" spans="1:7">
      <c r="A337" s="3275" t="s">
        <v>307</v>
      </c>
      <c r="B337" s="3264" t="s">
        <v>2895</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2902</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2907</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2915</v>
      </c>
      <c r="C345" s="3265">
        <v>0.15</v>
      </c>
      <c r="D345" s="3265">
        <v>0.15</v>
      </c>
      <c r="E345" s="3265">
        <v>0.15</v>
      </c>
      <c r="F345" s="3265">
        <v>0.13800000000000001</v>
      </c>
      <c r="G345" s="3266">
        <v>0.15</v>
      </c>
    </row>
    <row r="346" spans="1:7">
      <c r="A346" s="3275" t="s">
        <v>307</v>
      </c>
      <c r="B346" s="3264" t="s">
        <v>2917</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2924</v>
      </c>
      <c r="C348" s="3265">
        <v>0.15</v>
      </c>
      <c r="D348" s="3265">
        <v>0.15</v>
      </c>
      <c r="E348" s="3265">
        <v>0.15</v>
      </c>
      <c r="F348" s="3265">
        <v>0.14399999999999999</v>
      </c>
      <c r="G348" s="3266">
        <v>0.15</v>
      </c>
    </row>
    <row r="349" spans="1:7">
      <c r="A349" s="3275" t="s">
        <v>307</v>
      </c>
      <c r="B349" s="3264" t="s">
        <v>2929</v>
      </c>
      <c r="C349" s="3265">
        <v>0.15</v>
      </c>
      <c r="D349" s="3265">
        <v>0.15</v>
      </c>
      <c r="E349" s="3265">
        <v>0.15</v>
      </c>
      <c r="F349" s="3265">
        <v>0.15</v>
      </c>
      <c r="G349" s="3266">
        <v>0.15</v>
      </c>
    </row>
    <row r="350" spans="1:7">
      <c r="A350" s="3275" t="s">
        <v>307</v>
      </c>
      <c r="B350" s="3264" t="s">
        <v>2932</v>
      </c>
      <c r="C350" s="3265">
        <v>0.15</v>
      </c>
      <c r="D350" s="3265">
        <v>0.15</v>
      </c>
      <c r="E350" s="3265">
        <v>0.15</v>
      </c>
      <c r="F350" s="3265">
        <v>0.14699999999999999</v>
      </c>
      <c r="G350" s="3266">
        <v>0.15</v>
      </c>
    </row>
    <row r="351" spans="1:7">
      <c r="A351" s="3275" t="s">
        <v>307</v>
      </c>
      <c r="B351" s="3264" t="s">
        <v>2937</v>
      </c>
      <c r="C351" s="3265">
        <v>0.15</v>
      </c>
      <c r="D351" s="3265">
        <v>0.15</v>
      </c>
      <c r="E351" s="3265">
        <v>0.15</v>
      </c>
      <c r="F351" s="3265">
        <v>0.13</v>
      </c>
      <c r="G351" s="3266">
        <v>0.15</v>
      </c>
    </row>
    <row r="352" spans="1:7">
      <c r="A352" s="3275" t="s">
        <v>307</v>
      </c>
      <c r="B352" s="3264" t="s">
        <v>2942</v>
      </c>
      <c r="C352" s="3265">
        <v>0.15</v>
      </c>
      <c r="D352" s="3265">
        <v>0.15</v>
      </c>
      <c r="E352" s="3265">
        <v>0.15</v>
      </c>
      <c r="F352" s="3265">
        <v>0.14599999999999999</v>
      </c>
      <c r="G352" s="3266">
        <v>0.15</v>
      </c>
    </row>
    <row r="353" spans="1:7">
      <c r="A353" s="3275" t="s">
        <v>307</v>
      </c>
      <c r="B353" s="3264" t="s">
        <v>2949</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2962</v>
      </c>
      <c r="C355" s="3265">
        <v>0.15</v>
      </c>
      <c r="D355" s="3265">
        <v>0.15</v>
      </c>
      <c r="E355" s="3265">
        <v>0.15</v>
      </c>
      <c r="F355" s="3265">
        <v>0.15</v>
      </c>
      <c r="G355" s="3266">
        <v>0.15</v>
      </c>
    </row>
    <row r="356" spans="1:7">
      <c r="A356" s="3275" t="s">
        <v>307</v>
      </c>
      <c r="B356" s="3264" t="s">
        <v>2969</v>
      </c>
      <c r="C356" s="3265">
        <v>0.15</v>
      </c>
      <c r="D356" s="3265">
        <v>0.15</v>
      </c>
      <c r="E356" s="3265">
        <v>0.15</v>
      </c>
      <c r="F356" s="3265">
        <v>0.15</v>
      </c>
      <c r="G356" s="3266">
        <v>0.15</v>
      </c>
    </row>
    <row r="357" spans="1:7" ht="14.25" thickBot="1">
      <c r="A357" s="3278" t="s">
        <v>307</v>
      </c>
      <c r="B357" s="3268" t="s">
        <v>2974</v>
      </c>
      <c r="C357" s="3269">
        <v>0.126</v>
      </c>
      <c r="D357" s="3269">
        <v>0.127</v>
      </c>
      <c r="E357" s="3269">
        <v>0.14299999999999999</v>
      </c>
      <c r="F357" s="3269">
        <v>0.125</v>
      </c>
      <c r="G357" s="3271">
        <v>0.129</v>
      </c>
    </row>
    <row r="358" spans="1:7">
      <c r="A358" s="3274" t="s">
        <v>2843</v>
      </c>
      <c r="B358" s="3260" t="s">
        <v>2857</v>
      </c>
      <c r="C358" s="3261">
        <v>0.15</v>
      </c>
      <c r="D358" s="3261">
        <v>0.15</v>
      </c>
      <c r="E358" s="3261">
        <v>0.15</v>
      </c>
      <c r="F358" s="3261">
        <v>0.15</v>
      </c>
      <c r="G358" s="3262">
        <v>0.15</v>
      </c>
    </row>
    <row r="359" spans="1:7">
      <c r="A359" s="3275" t="s">
        <v>2843</v>
      </c>
      <c r="B359" s="3264" t="s">
        <v>2863</v>
      </c>
      <c r="C359" s="3265">
        <v>0.1</v>
      </c>
      <c r="D359" s="3265">
        <v>0.1</v>
      </c>
      <c r="E359" s="3265">
        <v>0.1</v>
      </c>
      <c r="F359" s="3265">
        <v>0.1</v>
      </c>
      <c r="G359" s="3266">
        <v>0.1</v>
      </c>
    </row>
    <row r="360" spans="1:7">
      <c r="A360" s="3275" t="s">
        <v>2843</v>
      </c>
      <c r="B360" s="3264" t="s">
        <v>2869</v>
      </c>
      <c r="C360" s="3265">
        <v>0.15</v>
      </c>
      <c r="D360" s="3265">
        <v>0.15</v>
      </c>
      <c r="E360" s="3265">
        <v>0.15</v>
      </c>
      <c r="F360" s="3265">
        <v>0.14899999999999999</v>
      </c>
      <c r="G360" s="3266">
        <v>0.15</v>
      </c>
    </row>
    <row r="361" spans="1:7">
      <c r="A361" s="3275" t="s">
        <v>2843</v>
      </c>
      <c r="B361" s="3264" t="s">
        <v>153</v>
      </c>
      <c r="C361" s="3265">
        <v>0.15</v>
      </c>
      <c r="D361" s="3265">
        <v>0.15</v>
      </c>
      <c r="E361" s="3265">
        <v>0.15</v>
      </c>
      <c r="F361" s="3265">
        <v>0.115</v>
      </c>
      <c r="G361" s="3266">
        <v>0.15</v>
      </c>
    </row>
    <row r="362" spans="1:7">
      <c r="A362" s="3275" t="s">
        <v>2843</v>
      </c>
      <c r="B362" s="3264" t="s">
        <v>2876</v>
      </c>
      <c r="C362" s="3265">
        <v>0.15</v>
      </c>
      <c r="D362" s="3265">
        <v>0.15</v>
      </c>
      <c r="E362" s="3265">
        <v>0.15</v>
      </c>
      <c r="F362" s="3265">
        <v>0.106</v>
      </c>
      <c r="G362" s="3266">
        <v>0.15</v>
      </c>
    </row>
    <row r="363" spans="1:7">
      <c r="A363" s="3275" t="s">
        <v>2843</v>
      </c>
      <c r="B363" s="3264" t="s">
        <v>2881</v>
      </c>
      <c r="C363" s="3265">
        <v>0.15</v>
      </c>
      <c r="D363" s="3265">
        <v>0.15</v>
      </c>
      <c r="E363" s="3265">
        <v>0.15</v>
      </c>
      <c r="F363" s="3265">
        <v>0.14699999999999999</v>
      </c>
      <c r="G363" s="3266">
        <v>0.15</v>
      </c>
    </row>
    <row r="364" spans="1:7">
      <c r="A364" s="3275" t="s">
        <v>2843</v>
      </c>
      <c r="B364" s="3264" t="s">
        <v>2885</v>
      </c>
      <c r="C364" s="3265">
        <v>0.15</v>
      </c>
      <c r="D364" s="3265">
        <v>0.15</v>
      </c>
      <c r="E364" s="3265">
        <v>0.15</v>
      </c>
      <c r="F364" s="3265">
        <v>0.14799999999999999</v>
      </c>
      <c r="G364" s="3266">
        <v>0.15</v>
      </c>
    </row>
    <row r="365" spans="1:7">
      <c r="A365" s="3275" t="s">
        <v>2843</v>
      </c>
      <c r="B365" s="3264" t="s">
        <v>200</v>
      </c>
      <c r="C365" s="3265">
        <v>0.15</v>
      </c>
      <c r="D365" s="3265">
        <v>0.15</v>
      </c>
      <c r="E365" s="3265">
        <v>0.15</v>
      </c>
      <c r="F365" s="3265">
        <v>0.15</v>
      </c>
      <c r="G365" s="3266">
        <v>0.15</v>
      </c>
    </row>
    <row r="366" spans="1:7">
      <c r="A366" s="3275" t="s">
        <v>2843</v>
      </c>
      <c r="B366" s="3264" t="s">
        <v>2888</v>
      </c>
      <c r="C366" s="3265">
        <v>0.15</v>
      </c>
      <c r="D366" s="3265">
        <v>0.15</v>
      </c>
      <c r="E366" s="3265">
        <v>0.15</v>
      </c>
      <c r="F366" s="3265">
        <v>0.15</v>
      </c>
      <c r="G366" s="3266">
        <v>0.15</v>
      </c>
    </row>
    <row r="367" spans="1:7">
      <c r="A367" s="3275" t="s">
        <v>2843</v>
      </c>
      <c r="B367" s="3264" t="s">
        <v>2891</v>
      </c>
      <c r="C367" s="3265">
        <v>0.15</v>
      </c>
      <c r="D367" s="3265">
        <v>0.15</v>
      </c>
      <c r="E367" s="3265">
        <v>0.15</v>
      </c>
      <c r="F367" s="3265">
        <v>0.14699999999999999</v>
      </c>
      <c r="G367" s="3266">
        <v>0.15</v>
      </c>
    </row>
    <row r="368" spans="1:7">
      <c r="A368" s="3275" t="s">
        <v>2843</v>
      </c>
      <c r="B368" s="3264" t="s">
        <v>2896</v>
      </c>
      <c r="C368" s="3265">
        <v>0.15</v>
      </c>
      <c r="D368" s="3265">
        <v>0.15</v>
      </c>
      <c r="E368" s="3265">
        <v>0.15</v>
      </c>
      <c r="F368" s="3265">
        <v>0.13600000000000001</v>
      </c>
      <c r="G368" s="3266">
        <v>0.15</v>
      </c>
    </row>
    <row r="369" spans="1:7">
      <c r="A369" s="3275" t="s">
        <v>2843</v>
      </c>
      <c r="B369" s="3264" t="s">
        <v>214</v>
      </c>
      <c r="C369" s="3265">
        <v>0.15</v>
      </c>
      <c r="D369" s="3265">
        <v>0.15</v>
      </c>
      <c r="E369" s="3265">
        <v>0.15</v>
      </c>
      <c r="F369" s="3265">
        <v>0.14399999999999999</v>
      </c>
      <c r="G369" s="3266">
        <v>0.15</v>
      </c>
    </row>
    <row r="370" spans="1:7">
      <c r="A370" s="3275" t="s">
        <v>2843</v>
      </c>
      <c r="B370" s="3264" t="s">
        <v>221</v>
      </c>
      <c r="C370" s="3265">
        <v>0.15</v>
      </c>
      <c r="D370" s="3265">
        <v>0.15</v>
      </c>
      <c r="E370" s="3265">
        <v>0.15</v>
      </c>
      <c r="F370" s="3265">
        <v>0.14599999999999999</v>
      </c>
      <c r="G370" s="3266">
        <v>0.15</v>
      </c>
    </row>
    <row r="371" spans="1:7">
      <c r="A371" s="3275" t="s">
        <v>2843</v>
      </c>
      <c r="B371" s="3264" t="s">
        <v>229</v>
      </c>
      <c r="C371" s="3265">
        <v>0.15</v>
      </c>
      <c r="D371" s="3265">
        <v>0.15</v>
      </c>
      <c r="E371" s="3265">
        <v>0.15</v>
      </c>
      <c r="F371" s="3265">
        <v>0.12</v>
      </c>
      <c r="G371" s="3266">
        <v>0.15</v>
      </c>
    </row>
    <row r="372" spans="1:7">
      <c r="A372" s="3275" t="s">
        <v>2843</v>
      </c>
      <c r="B372" s="3264" t="s">
        <v>2904</v>
      </c>
      <c r="C372" s="3265">
        <v>0.15</v>
      </c>
      <c r="D372" s="3265">
        <v>0.15</v>
      </c>
      <c r="E372" s="3265">
        <v>0.15</v>
      </c>
      <c r="F372" s="3265">
        <v>0.14299999999999999</v>
      </c>
      <c r="G372" s="3266">
        <v>0.15</v>
      </c>
    </row>
    <row r="373" spans="1:7">
      <c r="A373" s="3275" t="s">
        <v>2843</v>
      </c>
      <c r="B373" s="3264" t="s">
        <v>258</v>
      </c>
      <c r="C373" s="3265">
        <v>0.15</v>
      </c>
      <c r="D373" s="3265">
        <v>0.15</v>
      </c>
      <c r="E373" s="3265">
        <v>0.15</v>
      </c>
      <c r="F373" s="3265">
        <v>0.14599999999999999</v>
      </c>
      <c r="G373" s="3266">
        <v>0.15</v>
      </c>
    </row>
    <row r="374" spans="1:7">
      <c r="A374" s="3275" t="s">
        <v>2843</v>
      </c>
      <c r="B374" s="3264" t="s">
        <v>266</v>
      </c>
      <c r="C374" s="3265">
        <v>0.15</v>
      </c>
      <c r="D374" s="3265">
        <v>0.15</v>
      </c>
      <c r="E374" s="3265">
        <v>0.15</v>
      </c>
      <c r="F374" s="3265">
        <v>0.14399999999999999</v>
      </c>
      <c r="G374" s="3266">
        <v>0.15</v>
      </c>
    </row>
    <row r="375" spans="1:7">
      <c r="A375" s="3275" t="s">
        <v>2843</v>
      </c>
      <c r="B375" s="3264" t="s">
        <v>2912</v>
      </c>
      <c r="C375" s="3265">
        <v>0.15</v>
      </c>
      <c r="D375" s="3265">
        <v>0.15</v>
      </c>
      <c r="E375" s="3265">
        <v>0.15</v>
      </c>
      <c r="F375" s="3265">
        <v>0.13</v>
      </c>
      <c r="G375" s="3266">
        <v>0.15</v>
      </c>
    </row>
    <row r="376" spans="1:7">
      <c r="A376" s="3275" t="s">
        <v>2843</v>
      </c>
      <c r="B376" s="3264" t="s">
        <v>277</v>
      </c>
      <c r="C376" s="3265">
        <v>0.15</v>
      </c>
      <c r="D376" s="3265">
        <v>0.15</v>
      </c>
      <c r="E376" s="3265">
        <v>0.15</v>
      </c>
      <c r="F376" s="3265">
        <v>0.14199999999999999</v>
      </c>
      <c r="G376" s="3266">
        <v>0.15</v>
      </c>
    </row>
    <row r="377" spans="1:7" ht="14.25" thickBot="1">
      <c r="A377" s="3278" t="s">
        <v>2843</v>
      </c>
      <c r="B377" s="3268" t="s">
        <v>2918</v>
      </c>
      <c r="C377" s="3269">
        <v>0.15</v>
      </c>
      <c r="D377" s="3269">
        <v>0.15</v>
      </c>
      <c r="E377" s="3269">
        <v>0.15</v>
      </c>
      <c r="F377" s="3269">
        <v>0.14000000000000001</v>
      </c>
      <c r="G377" s="3271">
        <v>0.15</v>
      </c>
    </row>
    <row r="378" spans="1:7">
      <c r="A378" s="3274" t="s">
        <v>2844</v>
      </c>
      <c r="B378" s="3260" t="s">
        <v>2858</v>
      </c>
      <c r="C378" s="3261">
        <v>0.15</v>
      </c>
      <c r="D378" s="3261">
        <v>0.15</v>
      </c>
      <c r="E378" s="3261">
        <v>0.15</v>
      </c>
      <c r="F378" s="3261">
        <v>0.107</v>
      </c>
      <c r="G378" s="3262">
        <v>0.15</v>
      </c>
    </row>
    <row r="379" spans="1:7">
      <c r="A379" s="3275" t="s">
        <v>2844</v>
      </c>
      <c r="B379" s="3264" t="s">
        <v>2864</v>
      </c>
      <c r="C379" s="3265">
        <v>0.15</v>
      </c>
      <c r="D379" s="3265">
        <v>0.15</v>
      </c>
      <c r="E379" s="3265">
        <v>0.15</v>
      </c>
      <c r="F379" s="3265">
        <v>0.115</v>
      </c>
      <c r="G379" s="3266">
        <v>0.14899999999999999</v>
      </c>
    </row>
    <row r="380" spans="1:7">
      <c r="A380" s="3275" t="s">
        <v>2844</v>
      </c>
      <c r="B380" s="3264" t="s">
        <v>2870</v>
      </c>
      <c r="C380" s="3265">
        <v>0.15</v>
      </c>
      <c r="D380" s="3265">
        <v>0.15</v>
      </c>
      <c r="E380" s="3265">
        <v>0.15</v>
      </c>
      <c r="F380" s="3265">
        <v>0.1</v>
      </c>
      <c r="G380" s="3266">
        <v>0.14799999999999999</v>
      </c>
    </row>
    <row r="381" spans="1:7">
      <c r="A381" s="3275" t="s">
        <v>2844</v>
      </c>
      <c r="B381" s="3264" t="s">
        <v>2873</v>
      </c>
      <c r="C381" s="3265">
        <v>0.15</v>
      </c>
      <c r="D381" s="3265">
        <v>0.15</v>
      </c>
      <c r="E381" s="3265">
        <v>0.15</v>
      </c>
      <c r="F381" s="3265">
        <v>0.126</v>
      </c>
      <c r="G381" s="3266">
        <v>0.15</v>
      </c>
    </row>
    <row r="382" spans="1:7">
      <c r="A382" s="3275" t="s">
        <v>2844</v>
      </c>
      <c r="B382" s="3264" t="s">
        <v>2877</v>
      </c>
      <c r="C382" s="3265">
        <v>0.15</v>
      </c>
      <c r="D382" s="3265">
        <v>0.15</v>
      </c>
      <c r="E382" s="3265">
        <v>0.15</v>
      </c>
      <c r="F382" s="3265">
        <v>0.15</v>
      </c>
      <c r="G382" s="3266">
        <v>0.15</v>
      </c>
    </row>
    <row r="383" spans="1:7">
      <c r="A383" s="3275" t="s">
        <v>2844</v>
      </c>
      <c r="B383" s="3264" t="s">
        <v>2882</v>
      </c>
      <c r="C383" s="3265">
        <v>0.15</v>
      </c>
      <c r="D383" s="3265">
        <v>0.15</v>
      </c>
      <c r="E383" s="3265">
        <v>0.15</v>
      </c>
      <c r="F383" s="3265">
        <v>0.14699999999999999</v>
      </c>
      <c r="G383" s="3266">
        <v>0.15</v>
      </c>
    </row>
    <row r="384" spans="1:7" ht="14.25" thickBot="1">
      <c r="A384" s="3285" t="s">
        <v>2844</v>
      </c>
      <c r="B384" s="3286" t="s">
        <v>2886</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9" t="s">
        <v>3225</v>
      </c>
      <c r="B1" s="3809"/>
      <c r="C1" s="3809"/>
      <c r="D1" s="3809"/>
      <c r="E1" s="3809"/>
      <c r="F1" s="3810"/>
    </row>
    <row r="2" spans="1:6">
      <c r="A2" s="3291" t="s">
        <v>3226</v>
      </c>
      <c r="B2" s="3292"/>
      <c r="C2" s="3292"/>
      <c r="D2" s="3292"/>
      <c r="E2" s="3292"/>
      <c r="F2" s="3292"/>
    </row>
    <row r="3" spans="1:6">
      <c r="A3" s="3291" t="s">
        <v>3227</v>
      </c>
      <c r="B3" s="3292"/>
      <c r="C3" s="3292"/>
      <c r="D3" s="3292"/>
      <c r="E3" s="3292"/>
      <c r="F3" s="3293" t="s">
        <v>3228</v>
      </c>
    </row>
    <row r="4" spans="1:6">
      <c r="A4" s="3294" t="s">
        <v>670</v>
      </c>
      <c r="B4" s="3294" t="s">
        <v>671</v>
      </c>
      <c r="C4" s="3294" t="s">
        <v>21</v>
      </c>
      <c r="D4" s="3294" t="s">
        <v>672</v>
      </c>
      <c r="E4" s="3294" t="s">
        <v>3</v>
      </c>
      <c r="F4" s="3294" t="s">
        <v>3229</v>
      </c>
    </row>
    <row r="5" spans="1:6">
      <c r="A5" s="3295" t="s">
        <v>673</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1" sqref="G51"/>
    </sheetView>
  </sheetViews>
  <sheetFormatPr defaultRowHeight="13.5"/>
  <cols>
    <col min="1" max="1" width="13.875" customWidth="1"/>
    <col min="11" max="17" width="0" hidden="1" customWidth="1"/>
    <col min="25" max="30" width="0" hidden="1" customWidth="1"/>
  </cols>
  <sheetData>
    <row r="1" spans="1:30">
      <c r="A1" s="3221">
        <f>基准地价修正!G23</f>
        <v>45485</v>
      </c>
      <c r="B1" s="3210" t="s">
        <v>3364</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4.25" thickBot="1">
      <c r="B2" s="3144"/>
      <c r="C2" s="3145"/>
      <c r="D2" s="3146" t="s">
        <v>2803</v>
      </c>
      <c r="E2" s="3147" t="s">
        <v>2804</v>
      </c>
      <c r="F2" s="3147" t="s">
        <v>2805</v>
      </c>
      <c r="G2" s="3147" t="s">
        <v>2806</v>
      </c>
      <c r="H2" s="3147" t="s">
        <v>2807</v>
      </c>
      <c r="I2" s="3147" t="s">
        <v>2624</v>
      </c>
      <c r="J2" s="3148"/>
      <c r="K2" s="3146" t="s">
        <v>2803</v>
      </c>
      <c r="L2" s="3147" t="s">
        <v>2804</v>
      </c>
      <c r="M2" s="3147" t="s">
        <v>2805</v>
      </c>
      <c r="N2" s="3147" t="s">
        <v>2806</v>
      </c>
      <c r="O2" s="3147" t="s">
        <v>2808</v>
      </c>
      <c r="P2" s="3147" t="s">
        <v>2624</v>
      </c>
      <c r="Q2" s="3148"/>
      <c r="R2" s="3146" t="s">
        <v>2803</v>
      </c>
      <c r="S2" s="3147" t="s">
        <v>2804</v>
      </c>
      <c r="T2" s="3147" t="s">
        <v>2805</v>
      </c>
      <c r="U2" s="3147" t="s">
        <v>2809</v>
      </c>
      <c r="V2" s="3147" t="s">
        <v>2810</v>
      </c>
      <c r="W2" s="3147" t="s">
        <v>2624</v>
      </c>
      <c r="X2" s="3148"/>
      <c r="Y2" s="3146" t="s">
        <v>2803</v>
      </c>
      <c r="Z2" s="3147" t="s">
        <v>2804</v>
      </c>
      <c r="AA2" s="3147" t="s">
        <v>2805</v>
      </c>
      <c r="AB2" s="3147" t="s">
        <v>2811</v>
      </c>
      <c r="AC2" s="3147" t="s">
        <v>2810</v>
      </c>
      <c r="AD2" s="3147" t="s">
        <v>2624</v>
      </c>
    </row>
    <row r="3" spans="1:30" s="3161" customFormat="1" ht="12.75">
      <c r="A3" s="3149" t="s">
        <v>2812</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3372</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3367</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3369</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3370</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3368</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3363</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3362</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3361</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3357</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3348</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2813</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2814</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2815</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2816</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2817</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3359</v>
      </c>
    </row>
    <row r="22" spans="1:30" s="3009" customFormat="1">
      <c r="I22" s="3208" t="s">
        <v>2818</v>
      </c>
    </row>
    <row r="23" spans="1:30" s="3009" customFormat="1"/>
    <row r="24" spans="1:30" s="3209" customFormat="1" ht="12.75">
      <c r="B24" s="3210" t="s">
        <v>3365</v>
      </c>
      <c r="C24" s="3211"/>
      <c r="D24" s="3211"/>
      <c r="E24" s="3211"/>
      <c r="F24" s="3211"/>
      <c r="G24" s="3211"/>
      <c r="H24" s="3211"/>
      <c r="I24" s="3211"/>
      <c r="J24" s="3165"/>
      <c r="K24" s="3211" t="s">
        <v>2819</v>
      </c>
      <c r="L24" s="3211"/>
      <c r="M24" s="3211"/>
      <c r="N24" s="3211"/>
      <c r="O24" s="3211"/>
      <c r="P24" s="3211"/>
      <c r="Q24" s="3165"/>
      <c r="R24" s="3811" t="s">
        <v>2820</v>
      </c>
      <c r="S24" s="3812"/>
      <c r="T24" s="3812"/>
      <c r="U24" s="3812"/>
      <c r="V24" s="3812"/>
      <c r="W24" s="3812"/>
      <c r="X24" s="3165"/>
      <c r="Y24" s="3811" t="s">
        <v>2821</v>
      </c>
      <c r="Z24" s="3812"/>
      <c r="AA24" s="3812"/>
      <c r="AB24" s="3812"/>
      <c r="AC24" s="3812"/>
      <c r="AD24" s="3812"/>
    </row>
    <row r="25" spans="1:30" s="3143" customFormat="1" ht="14.25" thickBot="1">
      <c r="B25" s="3144"/>
      <c r="C25" s="3145"/>
      <c r="D25" s="3146" t="s">
        <v>2822</v>
      </c>
      <c r="E25" s="3147" t="s">
        <v>2823</v>
      </c>
      <c r="F25" s="3147" t="s">
        <v>2824</v>
      </c>
      <c r="G25" s="3147" t="s">
        <v>2825</v>
      </c>
      <c r="H25" s="3147"/>
      <c r="I25" s="3147" t="s">
        <v>2826</v>
      </c>
      <c r="J25" s="3148"/>
      <c r="K25" s="3146" t="s">
        <v>2822</v>
      </c>
      <c r="L25" s="3147" t="s">
        <v>2823</v>
      </c>
      <c r="M25" s="3147" t="s">
        <v>2824</v>
      </c>
      <c r="N25" s="3147" t="s">
        <v>2825</v>
      </c>
      <c r="O25" s="3147"/>
      <c r="P25" s="3147" t="s">
        <v>2826</v>
      </c>
      <c r="Q25" s="3148"/>
      <c r="R25" s="3146" t="s">
        <v>2822</v>
      </c>
      <c r="S25" s="3147" t="s">
        <v>2823</v>
      </c>
      <c r="T25" s="3147" t="s">
        <v>2824</v>
      </c>
      <c r="U25" s="3147" t="s">
        <v>2825</v>
      </c>
      <c r="V25" s="3147"/>
      <c r="W25" s="3147" t="s">
        <v>2826</v>
      </c>
      <c r="X25" s="3148"/>
      <c r="Y25" s="3146" t="s">
        <v>2822</v>
      </c>
      <c r="Z25" s="3147" t="s">
        <v>2823</v>
      </c>
      <c r="AA25" s="3147" t="s">
        <v>2824</v>
      </c>
      <c r="AB25" s="3147" t="s">
        <v>2825</v>
      </c>
      <c r="AC25" s="3147"/>
      <c r="AD25" s="3147" t="s">
        <v>2826</v>
      </c>
    </row>
    <row r="26" spans="1:30" s="3161" customFormat="1" ht="12.75">
      <c r="A26" s="3149" t="s">
        <v>2827</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3372</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3367</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3369</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3371</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3368</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3366</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3362</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3361</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3358</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3348</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2828</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2829</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2830</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2831</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2817</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4.25" thickBot="1">
      <c r="B2" s="2173" t="s">
        <v>458</v>
      </c>
      <c r="C2" s="2173" t="s">
        <v>459</v>
      </c>
      <c r="D2" s="2174" t="s">
        <v>460</v>
      </c>
      <c r="E2" s="2174" t="s">
        <v>461</v>
      </c>
      <c r="F2" s="2173" t="s">
        <v>462</v>
      </c>
      <c r="G2" s="2175"/>
      <c r="I2" s="2173" t="s">
        <v>458</v>
      </c>
      <c r="J2" s="2174" t="s">
        <v>674</v>
      </c>
      <c r="K2" s="2174" t="s">
        <v>308</v>
      </c>
      <c r="L2" s="2173" t="s">
        <v>462</v>
      </c>
      <c r="N2" s="2173" t="s">
        <v>458</v>
      </c>
      <c r="O2" s="2174" t="s">
        <v>674</v>
      </c>
      <c r="P2" s="2174" t="s">
        <v>308</v>
      </c>
      <c r="Q2" s="2173" t="s">
        <v>462</v>
      </c>
      <c r="S2" s="2173" t="s">
        <v>458</v>
      </c>
      <c r="T2" s="2174" t="s">
        <v>674</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3356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3355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2429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2306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2305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2304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675</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45485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2302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R37" sqref="R3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70" t="s">
        <v>3380</v>
      </c>
      <c r="C1" s="1859" t="s">
        <v>1561</v>
      </c>
      <c r="D1" s="198"/>
      <c r="E1" s="198"/>
      <c r="F1" s="198"/>
      <c r="G1" s="1126">
        <f>MATCH(B1,'数据-取费表'!A6:A16,0)+5</f>
        <v>7</v>
      </c>
      <c r="H1" s="1061" t="str">
        <f>IF(ISERROR(FIND("住宅",B1)),"非住宅","住宅")</f>
        <v>非住宅</v>
      </c>
    </row>
    <row r="2" spans="1:8" s="200" customFormat="1" ht="18" customHeight="1">
      <c r="A2" s="201" t="s">
        <v>1460</v>
      </c>
      <c r="B2" s="3424">
        <f ca="1">ROUND(IF(D2="——",C52/10000,C52/10000-E2),4)</f>
        <v>3029.1835999999998</v>
      </c>
      <c r="C2" s="199" t="s">
        <v>1461</v>
      </c>
      <c r="D2" s="1853" t="s">
        <v>43</v>
      </c>
      <c r="E2" s="1169" t="e">
        <f ca="1">SUMIF(INDIRECT("'"&amp;G2&amp;"'"&amp;"!A:A"),"承租人权益价值",INDIRECT("'"&amp;G2&amp;"'"&amp;"!c:c"))</f>
        <v>#REF!</v>
      </c>
      <c r="F2" s="1854" t="s">
        <v>1461</v>
      </c>
      <c r="G2" s="1855"/>
    </row>
    <row r="3" spans="1:8" s="200" customFormat="1" ht="18" customHeight="1" thickBot="1">
      <c r="A3" s="203" t="s">
        <v>1462</v>
      </c>
      <c r="B3" s="204">
        <f ca="1">ROUND(B2*10000/(IF(B1="",'数据-汇总表'!E3,INDIRECT("'数据-取费表'!k"&amp;$G$1))),0)</f>
        <v>45018</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17284508.039999999</v>
      </c>
      <c r="D5" s="211" t="s">
        <v>1467</v>
      </c>
      <c r="E5" s="212" t="s">
        <v>1468</v>
      </c>
      <c r="F5" s="212" t="s">
        <v>1469</v>
      </c>
      <c r="G5" s="213"/>
    </row>
    <row r="6" spans="1:8" s="214" customFormat="1" ht="13.5" customHeight="1">
      <c r="A6" s="778" t="s">
        <v>1470</v>
      </c>
      <c r="B6" s="215" t="s">
        <v>1471</v>
      </c>
      <c r="C6" s="216">
        <f>'基准地价修正 (2)'!C33*'基准地价修正 (2)'!D33</f>
        <v>16642341.039999999</v>
      </c>
      <c r="D6" s="217"/>
      <c r="E6" s="218"/>
      <c r="F6" s="218"/>
      <c r="G6" s="219"/>
    </row>
    <row r="7" spans="1:8" s="214" customFormat="1" ht="13.5" customHeight="1">
      <c r="A7" s="778" t="s">
        <v>1472</v>
      </c>
      <c r="B7" s="215" t="s">
        <v>1473</v>
      </c>
      <c r="C7" s="220">
        <f>ROUND(C6*F7,0)</f>
        <v>507591</v>
      </c>
      <c r="D7" s="220"/>
      <c r="E7" s="218"/>
      <c r="F7" s="221">
        <f>IF(项目基本情况!B8="出让",0,'数据-取费表'!B48+'数据-取费表'!B49)</f>
        <v>3.0499999999999999E-2</v>
      </c>
      <c r="G7" s="219"/>
    </row>
    <row r="8" spans="1:8" s="223" customFormat="1">
      <c r="A8" s="778" t="s">
        <v>1474</v>
      </c>
      <c r="B8" s="215" t="s">
        <v>1475</v>
      </c>
      <c r="C8" s="220">
        <f ca="1">IF(G8="已包含在土地购买价格中",0,C9+C10)</f>
        <v>134576</v>
      </c>
      <c r="D8" s="222"/>
      <c r="E8" s="220"/>
      <c r="F8" s="221"/>
      <c r="G8" s="1856" t="s">
        <v>3407</v>
      </c>
    </row>
    <row r="9" spans="1:8" s="214" customFormat="1" ht="13.5" customHeight="1">
      <c r="A9" s="779" t="s">
        <v>355</v>
      </c>
      <c r="B9" s="224" t="s">
        <v>1476</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1478</v>
      </c>
      <c r="C10" s="225">
        <f ca="1">ROUND(D10*E10,0)</f>
        <v>134576</v>
      </c>
      <c r="D10" s="845">
        <f ca="1">IF(B1="",'数据-汇总表'!E6,IF(INDIRECT("'数据-取费表'!c"&amp;$G$1)="住宅",INDIRECT("'数据-取费表'!s"&amp;$G$1),INDIRECT("'数据-取费表'!k"&amp;$G$1)+INDIRECT("'数据-取费表'!s"&amp;$G$1)))</f>
        <v>672.88</v>
      </c>
      <c r="E10" s="225">
        <f>'数据-取费表'!B28</f>
        <v>200</v>
      </c>
      <c r="F10" s="221"/>
      <c r="G10" s="226"/>
    </row>
    <row r="11" spans="1:8" s="214" customFormat="1" ht="13.5" hidden="1" customHeight="1">
      <c r="A11" s="227" t="s">
        <v>4</v>
      </c>
      <c r="B11" s="215" t="s">
        <v>1479</v>
      </c>
      <c r="C11" s="211"/>
      <c r="D11" s="847"/>
      <c r="E11" s="218"/>
      <c r="F11" s="218"/>
      <c r="G11" s="219"/>
    </row>
    <row r="12" spans="1:8" s="214" customFormat="1" ht="13.5" hidden="1" customHeight="1">
      <c r="A12" s="227" t="s">
        <v>5</v>
      </c>
      <c r="B12" s="215" t="s">
        <v>1562</v>
      </c>
      <c r="C12" s="211">
        <v>0</v>
      </c>
      <c r="D12" s="847"/>
      <c r="E12" s="228"/>
      <c r="F12" s="221">
        <v>3.0499999999999999E-2</v>
      </c>
      <c r="G12" s="219"/>
    </row>
    <row r="13" spans="1:8" s="214" customFormat="1" ht="13.5" hidden="1" customHeight="1">
      <c r="A13" s="227" t="s">
        <v>6</v>
      </c>
      <c r="B13" s="215" t="s">
        <v>1563</v>
      </c>
      <c r="C13" s="211"/>
      <c r="D13" s="847"/>
      <c r="E13" s="218"/>
      <c r="F13" s="218"/>
      <c r="G13" s="219"/>
    </row>
    <row r="14" spans="1:8" s="214" customFormat="1" ht="13.5" hidden="1" customHeight="1">
      <c r="A14" s="227" t="s">
        <v>7</v>
      </c>
      <c r="B14" s="215" t="s">
        <v>1475</v>
      </c>
      <c r="C14" s="211"/>
      <c r="D14" s="847"/>
      <c r="E14" s="218"/>
      <c r="F14" s="218"/>
      <c r="G14" s="219" t="s">
        <v>1564</v>
      </c>
    </row>
    <row r="15" spans="1:8" s="214" customFormat="1" ht="13.5" hidden="1" customHeight="1">
      <c r="A15" s="227" t="s">
        <v>8</v>
      </c>
      <c r="B15" s="215" t="s">
        <v>1565</v>
      </c>
      <c r="C15" s="220"/>
      <c r="D15" s="847"/>
      <c r="E15" s="218"/>
      <c r="F15" s="218"/>
      <c r="G15" s="219" t="s">
        <v>1566</v>
      </c>
    </row>
    <row r="16" spans="1:8" s="214" customFormat="1" ht="13.5" hidden="1" customHeight="1">
      <c r="A16" s="227" t="s">
        <v>9</v>
      </c>
      <c r="B16" s="215" t="s">
        <v>1475</v>
      </c>
      <c r="C16" s="220"/>
      <c r="D16" s="847"/>
      <c r="E16" s="218"/>
      <c r="F16" s="218"/>
      <c r="G16" s="219"/>
    </row>
    <row r="17" spans="1:7" s="214" customFormat="1" ht="13.5" hidden="1" customHeight="1">
      <c r="A17" s="227" t="s">
        <v>10</v>
      </c>
      <c r="B17" s="215" t="s">
        <v>1567</v>
      </c>
      <c r="C17" s="229"/>
      <c r="D17" s="848"/>
      <c r="E17" s="229"/>
      <c r="F17" s="229"/>
      <c r="G17" s="219" t="s">
        <v>1566</v>
      </c>
    </row>
    <row r="18" spans="1:7" s="214" customFormat="1" ht="13.5" hidden="1" customHeight="1">
      <c r="A18" s="227" t="s">
        <v>11</v>
      </c>
      <c r="B18" s="215" t="s">
        <v>1568</v>
      </c>
      <c r="C18" s="220">
        <v>0</v>
      </c>
      <c r="D18" s="847"/>
      <c r="E18" s="218"/>
      <c r="F18" s="221">
        <v>3.0499999999999999E-2</v>
      </c>
      <c r="G18" s="219" t="s">
        <v>1569</v>
      </c>
    </row>
    <row r="19" spans="1:7" s="223" customFormat="1" ht="13.5" customHeight="1">
      <c r="A19" s="255" t="s">
        <v>1570</v>
      </c>
      <c r="B19" s="210" t="s">
        <v>1571</v>
      </c>
      <c r="C19" s="211" t="str">
        <f>IF(G19="已包含在土地取得成本中","0",ROUND(D19*E19,0))</f>
        <v>0</v>
      </c>
      <c r="D19" s="849">
        <f ca="1">D9+D10</f>
        <v>672.88</v>
      </c>
      <c r="E19" s="211">
        <f>'数据-取费表'!B31</f>
        <v>200</v>
      </c>
      <c r="F19" s="231"/>
      <c r="G19" s="1856" t="s">
        <v>3409</v>
      </c>
    </row>
    <row r="20" spans="1:7" s="214" customFormat="1" ht="13.5" customHeight="1">
      <c r="A20" s="255" t="s">
        <v>1572</v>
      </c>
      <c r="B20" s="210" t="s">
        <v>1573</v>
      </c>
      <c r="C20" s="232">
        <f ca="1">ROUND((C5+C19)*F20,0)</f>
        <v>518535</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7">
        <f ca="1">ROUND(SUM(C23:C25),0)</f>
        <v>1231093</v>
      </c>
      <c r="D22" s="235">
        <f ca="1">C26</f>
        <v>1E-3</v>
      </c>
      <c r="E22" s="236" t="s">
        <v>1577</v>
      </c>
      <c r="F22" s="237">
        <f ca="1">'数据-取费表'!B40</f>
        <v>3.4500000000000003E-2</v>
      </c>
      <c r="G22" s="234" t="str">
        <f>IF('数据-取费表'!B22&lt;=1,"单利计息","复利计息")</f>
        <v>复利计息</v>
      </c>
    </row>
    <row r="23" spans="1:7" s="214" customFormat="1" ht="13.5" customHeight="1">
      <c r="A23" s="780" t="s">
        <v>1470</v>
      </c>
      <c r="B23" s="215" t="s">
        <v>1581</v>
      </c>
      <c r="C23" s="1128">
        <f ca="1">ROUND(IF('数据-取费表'!B22&lt;=1,C5*F22*'数据-取费表'!B22,C5*(POWER((1+F22),'数据-取费表'!B22)-1)),0)</f>
        <v>1213204</v>
      </c>
      <c r="D23" s="238"/>
      <c r="E23" s="238"/>
      <c r="F23" s="239"/>
      <c r="G23" s="240" t="s">
        <v>1582</v>
      </c>
    </row>
    <row r="24" spans="1:7" s="214" customFormat="1" ht="13.5" customHeight="1">
      <c r="A24" s="780" t="s">
        <v>1472</v>
      </c>
      <c r="B24" s="215" t="s">
        <v>1583</v>
      </c>
      <c r="C24" s="1128">
        <f ca="1">ROUND(IF('数据-取费表'!B22&lt;=1,C19*F22*('数据-取费表'!B19/2+'数据-取费表'!B20),C19*(POWER((1+F22),('数据-取费表'!B19/2+'数据-取费表'!B20))-1)),0)</f>
        <v>0</v>
      </c>
      <c r="D24" s="238"/>
      <c r="E24" s="238"/>
      <c r="F24" s="239"/>
      <c r="G24" s="240" t="s">
        <v>1584</v>
      </c>
    </row>
    <row r="25" spans="1:7" s="214" customFormat="1" ht="24">
      <c r="A25" s="780" t="s">
        <v>1474</v>
      </c>
      <c r="B25" s="215" t="s">
        <v>1585</v>
      </c>
      <c r="C25" s="1128">
        <f ca="1">ROUND(IF('数据-取费表'!B22&lt;=1,C20*F22*'数据-取费表'!B22/2,C20*(POWER((1+F22),'数据-取费表'!B22/2)-1)),0)</f>
        <v>17889</v>
      </c>
      <c r="D25" s="238"/>
      <c r="E25" s="241"/>
      <c r="F25" s="239"/>
      <c r="G25" s="242" t="s">
        <v>1586</v>
      </c>
    </row>
    <row r="26" spans="1:7" s="214" customFormat="1">
      <c r="A26" s="780" t="s">
        <v>350</v>
      </c>
      <c r="B26" s="215" t="s">
        <v>1509</v>
      </c>
      <c r="C26" s="238">
        <f ca="1">ROUND(IF('数据-取费表'!B22&lt;=1,F21*F22*'数据-取费表'!B22/2,F21*(POWER((1+F22),'数据-取费表'!B22/2)-1)),4)</f>
        <v>1E-3</v>
      </c>
      <c r="D26" s="238"/>
      <c r="E26" s="241"/>
      <c r="F26" s="239"/>
      <c r="G26" s="243"/>
    </row>
    <row r="27" spans="1:7" s="214" customFormat="1" ht="24.75">
      <c r="A27" s="255" t="s">
        <v>1510</v>
      </c>
      <c r="B27" s="244" t="s">
        <v>1511</v>
      </c>
      <c r="C27" s="245">
        <f ca="1">C28</f>
        <v>3560609</v>
      </c>
      <c r="D27" s="235">
        <f ca="1">C29</f>
        <v>6.0000000000000001E-3</v>
      </c>
      <c r="E27" s="236" t="s">
        <v>1512</v>
      </c>
      <c r="F27" s="246">
        <f ca="1">IF(B1="",'数据-取费表'!Q16,INDIRECT("'数据-取费表'!q"&amp;$G$1))</f>
        <v>0.2</v>
      </c>
      <c r="G27" s="247" t="s">
        <v>1513</v>
      </c>
    </row>
    <row r="28" spans="1:7" s="214" customFormat="1" ht="13.5" customHeight="1">
      <c r="A28" s="780" t="s">
        <v>346</v>
      </c>
      <c r="B28" s="248" t="s">
        <v>1514</v>
      </c>
      <c r="C28" s="249">
        <f ca="1">ROUND((C5+C19+C20)*F27,0)</f>
        <v>3560609</v>
      </c>
      <c r="D28" s="235"/>
      <c r="E28" s="236"/>
      <c r="F28" s="246"/>
      <c r="G28" s="247"/>
    </row>
    <row r="29" spans="1:7" s="214" customFormat="1" ht="13.5" customHeight="1">
      <c r="A29" s="780" t="s">
        <v>347</v>
      </c>
      <c r="B29" s="248" t="s">
        <v>1515</v>
      </c>
      <c r="C29" s="238">
        <f ca="1">ROUND(C21*F27,4)</f>
        <v>6.0000000000000001E-3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24837578</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4434279</v>
      </c>
      <c r="D33" s="232"/>
      <c r="E33" s="212"/>
      <c r="F33" s="241"/>
      <c r="G33" s="234"/>
    </row>
    <row r="34" spans="1:7" s="258" customFormat="1" ht="13.5" customHeight="1">
      <c r="A34" s="780" t="s">
        <v>346</v>
      </c>
      <c r="B34" s="215" t="s">
        <v>1523</v>
      </c>
      <c r="C34" s="220">
        <f ca="1">ROUND(IF(B1="",SUMPRODUCT('数据-取费表'!K6:K14,'数据-取费表'!L6:L14),INDIRECT("'数据-取费表'!l"&amp;$G$1)*INDIRECT("'数据-取费表'!k"&amp;$G$1)+'数据-取费表'!L14*INDIRECT("'数据-取费表'!S"&amp;$G$1)),0)</f>
        <v>4037280</v>
      </c>
      <c r="D34" s="217"/>
      <c r="E34" s="220"/>
      <c r="F34" s="257"/>
      <c r="G34" s="219"/>
    </row>
    <row r="35" spans="1:7" ht="13.5" customHeight="1">
      <c r="A35" s="780" t="s">
        <v>351</v>
      </c>
      <c r="B35" s="215" t="s">
        <v>1525</v>
      </c>
      <c r="C35" s="220">
        <f ca="1">ROUND(C34*F35,0)</f>
        <v>201864</v>
      </c>
      <c r="D35" s="220"/>
      <c r="E35" s="220"/>
      <c r="F35" s="259">
        <f>'数据-取费表'!B33</f>
        <v>0.05</v>
      </c>
      <c r="G35" s="219" t="s">
        <v>1526</v>
      </c>
    </row>
    <row r="36" spans="1:7" ht="24">
      <c r="A36" s="780"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80" t="s">
        <v>353</v>
      </c>
      <c r="B37" s="215" t="s">
        <v>1529</v>
      </c>
      <c r="C37" s="249">
        <f ca="1">ROUND(E37*D37,0)</f>
        <v>134576</v>
      </c>
      <c r="D37" s="217">
        <f ca="1">D19</f>
        <v>672.88</v>
      </c>
      <c r="E37" s="249">
        <f>'数据-取费表'!B35</f>
        <v>200</v>
      </c>
      <c r="F37" s="259"/>
      <c r="G37" s="261"/>
    </row>
    <row r="38" spans="1:7" ht="13.5" customHeight="1">
      <c r="A38" s="780" t="s">
        <v>354</v>
      </c>
      <c r="B38" s="215" t="s">
        <v>1531</v>
      </c>
      <c r="C38" s="220">
        <f ca="1">ROUND(C34*F38,0)</f>
        <v>60559</v>
      </c>
      <c r="D38" s="220"/>
      <c r="E38" s="220"/>
      <c r="F38" s="259">
        <f>'数据-取费表'!B36</f>
        <v>1.4999999999999999E-2</v>
      </c>
      <c r="G38" s="219" t="s">
        <v>1526</v>
      </c>
    </row>
    <row r="39" spans="1:7" s="214" customFormat="1" ht="13.5" customHeight="1">
      <c r="A39" s="255" t="s">
        <v>1532</v>
      </c>
      <c r="B39" s="210" t="s">
        <v>1533</v>
      </c>
      <c r="C39" s="232">
        <f ca="1">ROUND(C33*F20,0)</f>
        <v>133028</v>
      </c>
      <c r="D39" s="232"/>
      <c r="E39" s="232"/>
      <c r="F39" s="233">
        <f>F20</f>
        <v>0.03</v>
      </c>
      <c r="G39" s="234" t="s">
        <v>1534</v>
      </c>
    </row>
    <row r="40" spans="1:7" s="214" customFormat="1" ht="13.5" customHeight="1">
      <c r="A40" s="255" t="s">
        <v>1535</v>
      </c>
      <c r="B40" s="210" t="s">
        <v>1536</v>
      </c>
      <c r="C40" s="1327">
        <f>F21</f>
        <v>0.03</v>
      </c>
      <c r="D40" s="236" t="s">
        <v>1537</v>
      </c>
      <c r="E40" s="232"/>
      <c r="F40" s="233">
        <f>F21</f>
        <v>0.03</v>
      </c>
      <c r="G40" s="234" t="s">
        <v>1538</v>
      </c>
    </row>
    <row r="41" spans="1:7" s="214" customFormat="1" ht="13.5" customHeight="1">
      <c r="A41" s="255" t="s">
        <v>1539</v>
      </c>
      <c r="B41" s="210" t="s">
        <v>1540</v>
      </c>
      <c r="C41" s="232">
        <f ca="1">ROUND(SUM(C42:C43),0)</f>
        <v>157572</v>
      </c>
      <c r="D41" s="235">
        <f ca="1">C44</f>
        <v>1E-3</v>
      </c>
      <c r="E41" s="236" t="s">
        <v>1537</v>
      </c>
      <c r="F41" s="237">
        <f ca="1">F22</f>
        <v>3.4500000000000003E-2</v>
      </c>
      <c r="G41" s="234" t="str">
        <f>IF('数据-取费表'!B22&lt;=1,"单利计息","复利计息")</f>
        <v>复利计息</v>
      </c>
    </row>
    <row r="42" spans="1:7" ht="13.5" customHeight="1">
      <c r="A42" s="780" t="s">
        <v>346</v>
      </c>
      <c r="B42" s="215" t="s">
        <v>1541</v>
      </c>
      <c r="C42" s="238">
        <f ca="1">ROUND(IF('数据-取费表'!B22&lt;=1,C33*F22*'数据-取费表'!B20/2,C33*(POWER((1+F22),'数据-取费表'!B20/2)-1)),0)</f>
        <v>152983</v>
      </c>
      <c r="D42" s="238"/>
      <c r="E42" s="238"/>
      <c r="F42" s="239"/>
      <c r="G42" s="3738" t="s">
        <v>1589</v>
      </c>
    </row>
    <row r="43" spans="1:7" ht="13.5" customHeight="1">
      <c r="A43" s="780" t="s">
        <v>347</v>
      </c>
      <c r="B43" s="215" t="s">
        <v>1543</v>
      </c>
      <c r="C43" s="238">
        <f ca="1">ROUND(IF('数据-取费表'!B22&lt;=1,C39*F22*'数据-取费表'!B20/2,C39*(POWER((1+F22),'数据-取费表'!B20/2)-1)),0)</f>
        <v>4589</v>
      </c>
      <c r="D43" s="238"/>
      <c r="E43" s="238"/>
      <c r="F43" s="239"/>
      <c r="G43" s="3739"/>
    </row>
    <row r="44" spans="1:7" ht="13.5" customHeight="1">
      <c r="A44" s="780" t="s">
        <v>348</v>
      </c>
      <c r="B44" s="215" t="s">
        <v>1544</v>
      </c>
      <c r="C44" s="238">
        <f ca="1">ROUND(IF('数据-取费表'!B22&lt;=1,C40*F22*'数据-取费表'!B20/2,C40*(POWER((1+F22),'数据-取费表'!B20/2)-1)),4)</f>
        <v>1E-3</v>
      </c>
      <c r="D44" s="238"/>
      <c r="E44" s="238"/>
      <c r="F44" s="239"/>
      <c r="G44" s="3740"/>
    </row>
    <row r="45" spans="1:7" s="214" customFormat="1" ht="13.5" customHeight="1">
      <c r="A45" s="255" t="s">
        <v>1545</v>
      </c>
      <c r="B45" s="244" t="s">
        <v>1511</v>
      </c>
      <c r="C45" s="245">
        <f ca="1">C46</f>
        <v>913461</v>
      </c>
      <c r="D45" s="235">
        <f ca="1">C47</f>
        <v>6.0000000000000001E-3</v>
      </c>
      <c r="E45" s="236" t="s">
        <v>1537</v>
      </c>
      <c r="F45" s="246">
        <f ca="1">F27</f>
        <v>0.2</v>
      </c>
      <c r="G45" s="247" t="s">
        <v>1546</v>
      </c>
    </row>
    <row r="46" spans="1:7" s="214" customFormat="1" ht="13.5" customHeight="1">
      <c r="A46" s="780" t="s">
        <v>346</v>
      </c>
      <c r="B46" s="248" t="s">
        <v>1547</v>
      </c>
      <c r="C46" s="249">
        <f ca="1">ROUND((C33+C39)*F27,0)</f>
        <v>913461</v>
      </c>
      <c r="D46" s="263"/>
      <c r="E46" s="236"/>
      <c r="F46" s="246"/>
      <c r="G46" s="247"/>
    </row>
    <row r="47" spans="1:7" s="214" customFormat="1" ht="13.5" customHeight="1">
      <c r="A47" s="780" t="s">
        <v>347</v>
      </c>
      <c r="B47" s="248" t="s">
        <v>1548</v>
      </c>
      <c r="C47" s="238">
        <f ca="1">ROUND(C40*F27,4)</f>
        <v>6.0000000000000001E-3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6198021</v>
      </c>
      <c r="D49" s="232"/>
      <c r="E49" s="232"/>
      <c r="F49" s="264"/>
      <c r="G49" s="234" t="s">
        <v>1552</v>
      </c>
    </row>
    <row r="50" spans="1:7" s="258" customFormat="1">
      <c r="A50" s="255" t="s">
        <v>1553</v>
      </c>
      <c r="B50" s="210" t="s">
        <v>1554</v>
      </c>
      <c r="C50" s="232"/>
      <c r="D50" s="232"/>
      <c r="E50" s="232"/>
      <c r="F50" s="264">
        <f>IF('数据-取费表'!B24=0,'数据-取费表'!N16,1)</f>
        <v>0.88</v>
      </c>
      <c r="G50" s="247"/>
    </row>
    <row r="51" spans="1:7" ht="16.5" customHeight="1">
      <c r="A51" s="255" t="s">
        <v>1556</v>
      </c>
      <c r="B51" s="210" t="s">
        <v>1591</v>
      </c>
      <c r="C51" s="232">
        <f ca="1">ROUND(C49*F50,0)</f>
        <v>5454258</v>
      </c>
      <c r="D51" s="232"/>
      <c r="E51" s="232"/>
      <c r="F51" s="264"/>
      <c r="G51" s="234" t="s">
        <v>1558</v>
      </c>
    </row>
    <row r="52" spans="1:7" s="208" customFormat="1" ht="16.5" thickBot="1">
      <c r="A52" s="265" t="s">
        <v>1559</v>
      </c>
      <c r="B52" s="266"/>
      <c r="C52" s="267">
        <f ca="1">C31+C51</f>
        <v>30291836</v>
      </c>
      <c r="D52" s="266"/>
      <c r="E52" s="266"/>
      <c r="F52" s="266"/>
      <c r="G52" s="268"/>
    </row>
    <row r="55" spans="1:7" ht="15">
      <c r="B55" s="270" t="s">
        <v>1560</v>
      </c>
      <c r="C55" s="271"/>
    </row>
    <row r="56" spans="1:7">
      <c r="B56" s="273" t="s">
        <v>800</v>
      </c>
      <c r="C56" s="275">
        <f ca="1">1-C57</f>
        <v>0.82000000000000006</v>
      </c>
    </row>
    <row r="57" spans="1:7">
      <c r="B57" s="273" t="s">
        <v>801</v>
      </c>
      <c r="C57" s="274">
        <f ca="1">ROUND(C51/C52,3)</f>
        <v>0.18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D33" sqref="D3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1924</v>
      </c>
      <c r="B1" s="197"/>
      <c r="C1" s="201" t="s">
        <v>1925</v>
      </c>
      <c r="D1" s="342">
        <f>SUM(D33:D34,D37:D42)</f>
        <v>672.88</v>
      </c>
      <c r="E1" s="1995"/>
      <c r="F1" s="1995"/>
      <c r="G1" s="1995"/>
      <c r="H1" s="1995"/>
      <c r="I1" s="1995"/>
      <c r="J1" s="1995"/>
      <c r="K1" s="1119"/>
      <c r="L1" s="1996" t="s">
        <v>1926</v>
      </c>
      <c r="M1" s="863">
        <f>SUMPRODUCT((区片价!B5:B9=I2)*(区片价!C3:G3=E2)*(区片价!C5:G9))</f>
        <v>0</v>
      </c>
      <c r="N1" s="866">
        <f>SUMPRODUCT((因素修正幅度!B5:B9=I2)*(因素修正幅度!C3:G3=E2)*(因素修正幅度!C5:G9))</f>
        <v>0</v>
      </c>
      <c r="O1" s="1997"/>
      <c r="P1" s="1997"/>
      <c r="Q1" s="1119"/>
      <c r="R1" s="1212" t="s">
        <v>1927</v>
      </c>
      <c r="S1" s="1212" t="s">
        <v>1928</v>
      </c>
      <c r="T1" s="1212" t="s">
        <v>1929</v>
      </c>
      <c r="U1" s="1212" t="s">
        <v>1930</v>
      </c>
      <c r="V1" s="1212" t="s">
        <v>1931</v>
      </c>
      <c r="W1" s="1216"/>
      <c r="X1" s="1216"/>
      <c r="Y1" s="1216"/>
      <c r="Z1" s="1216"/>
      <c r="AA1" s="1216"/>
      <c r="AB1" s="1216"/>
      <c r="AC1" s="1217"/>
      <c r="AD1" s="1218"/>
      <c r="AE1" s="1218"/>
      <c r="AF1" s="1218"/>
      <c r="AG1" s="1218"/>
      <c r="AH1" s="1218"/>
      <c r="AI1" s="1218"/>
      <c r="AJ1" s="1219"/>
    </row>
    <row r="2" spans="1:36" ht="15.75">
      <c r="A2" s="201" t="s">
        <v>1932</v>
      </c>
      <c r="B2" s="204">
        <f>C30</f>
        <v>1664</v>
      </c>
      <c r="C2" s="1999" t="s">
        <v>1933</v>
      </c>
      <c r="D2" s="2000" t="s">
        <v>1934</v>
      </c>
      <c r="E2" s="3422" t="s">
        <v>21</v>
      </c>
      <c r="F2" s="2000" t="s">
        <v>1935</v>
      </c>
      <c r="G2" s="2001" t="str">
        <f>IF(E2="商业",项目基本情况!B37,IF(E2="办公",项目基本情况!C37,IF(E2="住宅",项目基本情况!D37,IF(E2="工业",项目基本情况!E37,项目基本情况!F37))))</f>
        <v>二级</v>
      </c>
      <c r="H2" s="2000" t="s">
        <v>1936</v>
      </c>
      <c r="I2" s="2001" t="str">
        <f>IF(E2="商业",项目基本情况!B38,IF(E2="办公",项目基本情况!C38,IF(E2="住宅",项目基本情况!D38,IF(E2="工业",项目基本情况!E38,项目基本情况!F38))))</f>
        <v>Ⅱ—17</v>
      </c>
      <c r="J2" s="2002"/>
      <c r="K2" s="1119"/>
      <c r="L2" s="2003" t="s">
        <v>1937</v>
      </c>
      <c r="M2" s="864">
        <f>SUMPRODUCT((区片价!B10:B29=I2)*(区片价!C3:G3=E2)*(区片价!C10:G29))</f>
        <v>27650</v>
      </c>
      <c r="N2" s="866">
        <f>SUMPRODUCT((因素修正幅度!B10:B29=I2)*(因素修正幅度!C3:G3=E2)*(因素修正幅度!C10:G29))</f>
        <v>9.9000000000000005E-2</v>
      </c>
      <c r="O2" s="1119"/>
      <c r="P2" s="1119"/>
      <c r="Q2" s="1119"/>
      <c r="R2" s="1212">
        <v>1</v>
      </c>
      <c r="S2" s="3361">
        <f>ROUND(SUMPRODUCT((B106:B110=R2)*(C105:N105=G2)*(C106:N110)),4)</f>
        <v>1.5206</v>
      </c>
      <c r="T2" s="3361">
        <f t="shared" ref="T2:T16" si="0">ROUND($C$5*$C$22*$C$23*$C$24*S2*$C$28,0)</f>
        <v>38921</v>
      </c>
      <c r="U2" s="1213"/>
      <c r="V2" s="3361">
        <f>ROUND(T2*U2/10000,0)</f>
        <v>0</v>
      </c>
      <c r="W2" s="1216"/>
      <c r="X2" s="1216"/>
      <c r="Y2" s="1216"/>
      <c r="Z2" s="1216"/>
      <c r="AA2" s="1216"/>
      <c r="AB2" s="1216"/>
      <c r="AC2" s="1217"/>
      <c r="AD2" s="1218"/>
      <c r="AE2" s="1218"/>
      <c r="AF2" s="1218"/>
      <c r="AG2" s="1218"/>
      <c r="AH2" s="1218"/>
      <c r="AI2" s="1218"/>
      <c r="AJ2" s="1219"/>
    </row>
    <row r="3" spans="1:36" ht="15.75">
      <c r="A3" s="203" t="s">
        <v>1938</v>
      </c>
      <c r="B3" s="204">
        <f>ROUND(B2*10000/D1,0)</f>
        <v>24730</v>
      </c>
      <c r="C3" s="1999" t="s">
        <v>1939</v>
      </c>
      <c r="D3" s="2000" t="s">
        <v>1940</v>
      </c>
      <c r="E3" s="3420" t="s">
        <v>3412</v>
      </c>
      <c r="F3" s="2004" t="s">
        <v>3402</v>
      </c>
      <c r="G3" s="752">
        <f>IF(F3="宗地容积率",'数据-汇总表'!I4,IF(F3="估价对象容积率",'数据-汇总表'!I6,'数据-汇总表'!I7))</f>
        <v>4.7</v>
      </c>
      <c r="H3" s="170" t="s">
        <v>1941</v>
      </c>
      <c r="I3" s="775"/>
      <c r="J3" s="2002" t="s">
        <v>1942</v>
      </c>
      <c r="K3" s="1119"/>
      <c r="L3" s="2003" t="s">
        <v>1943</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1.2072000000000001</v>
      </c>
      <c r="T3" s="3361">
        <f t="shared" si="0"/>
        <v>30899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1944</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1.0430999999999999</v>
      </c>
      <c r="T4" s="3361">
        <f t="shared" si="0"/>
        <v>26699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1945</v>
      </c>
      <c r="C5" s="753">
        <f>ROUND(IF(E2="商业",C6*C7*C17+C20,(IF(E2="住宅",C6*C13*C17+C20,IF(E2="办公",C6*C12*C17+C20,C6+C20)))),0)</f>
        <v>29033</v>
      </c>
      <c r="D5" s="1339">
        <f>ROUND(C6*C17+C20,0)</f>
        <v>27650</v>
      </c>
      <c r="E5" s="1339"/>
      <c r="F5" s="2007"/>
      <c r="G5" s="2008"/>
      <c r="H5" s="2008"/>
      <c r="I5" s="2008"/>
      <c r="J5" s="2009"/>
      <c r="K5" s="2010"/>
      <c r="L5" s="2003" t="s">
        <v>1946</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0.94389999999999996</v>
      </c>
      <c r="T5" s="3361">
        <f t="shared" si="0"/>
        <v>24160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1947</v>
      </c>
      <c r="B6" s="2016" t="s">
        <v>1948</v>
      </c>
      <c r="C6" s="754">
        <f>SUMIF(L1:L12,G2,M1:M12)</f>
        <v>27650</v>
      </c>
      <c r="D6" s="2017"/>
      <c r="E6" s="2018"/>
      <c r="F6" s="2018"/>
      <c r="G6" s="2019"/>
      <c r="H6" s="2019"/>
      <c r="I6" s="2019"/>
      <c r="J6" s="2020"/>
      <c r="K6" s="1384"/>
      <c r="L6" s="2003" t="s">
        <v>1949</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0.89959999999999996</v>
      </c>
      <c r="T6" s="3361">
        <f t="shared" si="0"/>
        <v>23026</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3230</v>
      </c>
      <c r="B7" s="3474" t="s">
        <v>1950</v>
      </c>
      <c r="C7" s="755">
        <f>IF(C8="不临65条商业街",1,ROUND(1+(1.6*E8+1.2*E9+0.8*E10+0.4*E11)*C9,4))</f>
        <v>1</v>
      </c>
      <c r="D7" s="2022" t="s">
        <v>1951</v>
      </c>
      <c r="E7" s="776"/>
      <c r="F7" s="2023"/>
      <c r="G7" s="2024"/>
      <c r="H7" s="2024"/>
      <c r="I7" s="2024"/>
      <c r="J7" s="2025"/>
      <c r="K7" s="1384"/>
      <c r="L7" s="2003" t="s">
        <v>1952</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3481" t="s">
        <v>1953</v>
      </c>
      <c r="X7" s="1214" t="str">
        <f>G2</f>
        <v>二级</v>
      </c>
      <c r="Y7" s="1214" t="s">
        <v>1954</v>
      </c>
      <c r="Z7" s="1215">
        <f>G3</f>
        <v>4.7</v>
      </c>
      <c r="AA7" s="1216"/>
      <c r="AB7" s="1216"/>
      <c r="AC7" s="1217"/>
      <c r="AD7" s="1218"/>
      <c r="AE7" s="1218"/>
      <c r="AF7" s="1218"/>
      <c r="AG7" s="1218"/>
      <c r="AH7" s="1218"/>
      <c r="AI7" s="1218"/>
      <c r="AJ7" s="1219"/>
    </row>
    <row r="8" spans="1:36" ht="25.5">
      <c r="A8" s="3299"/>
      <c r="B8" s="170" t="s">
        <v>1955</v>
      </c>
      <c r="C8" s="2026" t="s">
        <v>3403</v>
      </c>
      <c r="D8" s="756" t="s">
        <v>112</v>
      </c>
      <c r="E8" s="757" t="e">
        <f>ROUND(C11/E7,4)</f>
        <v>#DIV/0!</v>
      </c>
      <c r="F8" s="2027" t="s">
        <v>1956</v>
      </c>
      <c r="G8" s="2028"/>
      <c r="H8" s="2028"/>
      <c r="I8" s="2028"/>
      <c r="J8" s="2029"/>
      <c r="K8" s="1119"/>
      <c r="L8" s="2003" t="s">
        <v>1957</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1958</v>
      </c>
      <c r="X8" s="3746"/>
      <c r="Y8" s="1220" t="s">
        <v>1959</v>
      </c>
      <c r="Z8" s="1220" t="s">
        <v>1960</v>
      </c>
      <c r="AA8" s="1220" t="s">
        <v>1961</v>
      </c>
      <c r="AB8" s="1220" t="s">
        <v>1962</v>
      </c>
      <c r="AC8" s="1220" t="s">
        <v>1963</v>
      </c>
      <c r="AD8" s="1220" t="s">
        <v>1964</v>
      </c>
      <c r="AE8" s="1220" t="s">
        <v>1965</v>
      </c>
      <c r="AF8" s="1220" t="s">
        <v>1966</v>
      </c>
      <c r="AG8" s="1220" t="s">
        <v>1967</v>
      </c>
      <c r="AH8" s="1220" t="s">
        <v>1968</v>
      </c>
      <c r="AI8" s="1220" t="s">
        <v>1969</v>
      </c>
      <c r="AJ8" s="1220" t="s">
        <v>1970</v>
      </c>
    </row>
    <row r="9" spans="1:36" ht="15">
      <c r="A9" s="3299"/>
      <c r="B9" s="170" t="s">
        <v>1971</v>
      </c>
      <c r="C9" s="758">
        <f>SUMIF(修正!C71:C138,C8,修正!E71:E138)</f>
        <v>0</v>
      </c>
      <c r="D9" s="171" t="s">
        <v>113</v>
      </c>
      <c r="E9" s="171" t="e">
        <f>ROUND(C11/E7,4)</f>
        <v>#DIV/0!</v>
      </c>
      <c r="F9" s="2027" t="s">
        <v>1972</v>
      </c>
      <c r="G9" s="2028"/>
      <c r="H9" s="2028"/>
      <c r="I9" s="2028"/>
      <c r="J9" s="2029"/>
      <c r="K9" s="1119"/>
      <c r="L9" s="2003" t="s">
        <v>1973</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7"/>
      <c r="X9" s="3362" t="s">
        <v>3261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1974</v>
      </c>
      <c r="C10" s="171">
        <f>SUMIF(修正!C71:C138,C8,修正!F71:F138)</f>
        <v>0</v>
      </c>
      <c r="D10" s="171" t="s">
        <v>114</v>
      </c>
      <c r="E10" s="171" t="e">
        <f>ROUND(C11/E7,4)</f>
        <v>#DIV/0!</v>
      </c>
      <c r="F10" s="2027" t="s">
        <v>1975</v>
      </c>
      <c r="G10" s="2028"/>
      <c r="H10" s="2028"/>
      <c r="I10" s="2028"/>
      <c r="J10" s="2029"/>
      <c r="K10" s="1119"/>
      <c r="L10" s="2003" t="s">
        <v>1976</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1977</v>
      </c>
      <c r="C11" s="759">
        <f>C10/4</f>
        <v>0</v>
      </c>
      <c r="D11" s="759" t="s">
        <v>115</v>
      </c>
      <c r="E11" s="759" t="e">
        <f>ROUND(C11/E7,4)</f>
        <v>#DIV/0!</v>
      </c>
      <c r="F11" s="2031" t="s">
        <v>1978</v>
      </c>
      <c r="G11" s="2032"/>
      <c r="H11" s="2032"/>
      <c r="I11" s="2032"/>
      <c r="J11" s="2033"/>
      <c r="K11" s="1119"/>
      <c r="L11" s="2003" t="s">
        <v>1979</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3231</v>
      </c>
      <c r="B12" s="3305" t="s">
        <v>3232</v>
      </c>
      <c r="C12" s="3306">
        <v>1.05</v>
      </c>
      <c r="D12" s="3307" t="s">
        <v>3233</v>
      </c>
      <c r="E12" s="3308" t="s">
        <v>3234</v>
      </c>
      <c r="F12" s="3309"/>
      <c r="G12" s="3310"/>
      <c r="H12" s="3310"/>
      <c r="I12" s="3310"/>
      <c r="J12" s="3311"/>
      <c r="K12" s="1119"/>
      <c r="L12" s="2039" t="s">
        <v>1982</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3235</v>
      </c>
      <c r="B13" s="2034" t="s">
        <v>1980</v>
      </c>
      <c r="C13" s="755">
        <f>ROUND(C16*D16*E16*F16*G16*H16*I16*J16,4)</f>
        <v>0</v>
      </c>
      <c r="D13" s="2035" t="s">
        <v>1981</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3476" t="s">
        <v>1983</v>
      </c>
      <c r="C14" s="2041" t="s">
        <v>1984</v>
      </c>
      <c r="D14" s="1350" t="s">
        <v>1985</v>
      </c>
      <c r="E14" s="27" t="s">
        <v>1986</v>
      </c>
      <c r="F14" s="3312" t="s">
        <v>3236</v>
      </c>
      <c r="G14" s="3312" t="s">
        <v>3236</v>
      </c>
      <c r="H14" s="3312" t="s">
        <v>3236</v>
      </c>
      <c r="I14" s="3312" t="s">
        <v>3236</v>
      </c>
      <c r="J14" s="3312" t="s">
        <v>3236</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3477"/>
      <c r="C15" s="2043"/>
      <c r="D15" s="2044"/>
      <c r="E15" s="2045"/>
      <c r="F15" s="3313" t="s">
        <v>3237</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1987</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3238</v>
      </c>
      <c r="B17" s="3321" t="s">
        <v>3239</v>
      </c>
      <c r="C17" s="3331">
        <f>ROUND(IF(OR(E2="工业",E2="公共服务"),1,IF(AND(E18=0,E19=0),1,IF(AND(E18=J24,E19=G19),0.8,IF(E19=0,1+E17*(-0.2),1+E17*G17*(-0.2))))),4)</f>
        <v>1</v>
      </c>
      <c r="D17" s="3322" t="s">
        <v>3240</v>
      </c>
      <c r="E17" s="3331">
        <f>ROUND(G18/I18,2)</f>
        <v>0</v>
      </c>
      <c r="F17" s="3322" t="s">
        <v>3243</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475"/>
      <c r="C18" s="3328"/>
      <c r="D18" s="3323" t="s">
        <v>3241</v>
      </c>
      <c r="E18" s="3329"/>
      <c r="F18" s="3324" t="s">
        <v>3244</v>
      </c>
      <c r="G18" s="3328">
        <f>ROUND(1-(1/(POWER(1+G24,E18))),4)</f>
        <v>0</v>
      </c>
      <c r="H18" s="3324" t="s">
        <v>3246</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3242</v>
      </c>
      <c r="E19" s="3338"/>
      <c r="F19" s="3339" t="s">
        <v>3245</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3247</v>
      </c>
      <c r="B20" s="167" t="s">
        <v>1992</v>
      </c>
      <c r="C20" s="3325">
        <f>ROUND(IF(F21="与级别开发程度一致",0,(G21-E21)/C21),0)</f>
        <v>0</v>
      </c>
      <c r="D20" s="3341" t="s">
        <v>1996</v>
      </c>
      <c r="E20" s="3342"/>
      <c r="F20" s="3758" t="s">
        <v>1993</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1995</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3404</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1998</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1999</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4" t="s">
        <v>2000</v>
      </c>
      <c r="E23" s="761">
        <v>44197</v>
      </c>
      <c r="F23" s="2054" t="s">
        <v>2001</v>
      </c>
      <c r="G23" s="762">
        <f>'数据-取费表'!B2</f>
        <v>45485</v>
      </c>
      <c r="H23" s="3343" t="s">
        <v>3249</v>
      </c>
      <c r="I23" s="3344" t="str">
        <f>IF(H23="季度增幅（自定义）",SUMIF(N25:N28,E2,O25:O28),"")</f>
        <v/>
      </c>
      <c r="J23" s="3446" t="s">
        <v>3248</v>
      </c>
      <c r="K23" s="1125"/>
      <c r="L23" s="2055" t="s">
        <v>2002</v>
      </c>
      <c r="M23" s="1328">
        <f>ROUND(SUMIF(地价!B2:G2,E2,地价!B16:G16),0)</f>
        <v>350</v>
      </c>
      <c r="N23" s="2056" t="s">
        <v>2003</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2004</v>
      </c>
      <c r="C24" s="764">
        <f>ROUND(POWER(1+G24,J24-I24)*(POWER(1+G24,I24)-1)/(POWER(1+G24,J24)-1),4)</f>
        <v>0.86009999999999998</v>
      </c>
      <c r="D24" s="2060" t="s">
        <v>2005</v>
      </c>
      <c r="E24" s="1335">
        <f>存贷款利率!E24/100</f>
        <v>4.3499999999999997E-2</v>
      </c>
      <c r="F24" s="2060" t="s">
        <v>1997</v>
      </c>
      <c r="G24" s="768">
        <f>SUMIF(M30:Q30,E2,M33:Q33)</f>
        <v>5.5E-2</v>
      </c>
      <c r="H24" s="2060" t="s">
        <v>2006</v>
      </c>
      <c r="I24" s="769">
        <f>SUMIF('数据-取费表'!C6:C15,E2,'数据-取费表'!F6:F15)/COUNTIF('数据-取费表'!C6:C15,E2)</f>
        <v>30.15</v>
      </c>
      <c r="J24" s="770">
        <f>IF(E2="住宅",70,IF(E2="商业",40,50))</f>
        <v>50</v>
      </c>
      <c r="K24" s="1125"/>
      <c r="L24" s="2061" t="s">
        <v>2007</v>
      </c>
      <c r="M24" s="1329">
        <f>ROUND(SUMPRODUCT((地价!A4:A16=YEAR(G23)&amp;"-"&amp;ROUNDUP(MONTH(G23)/3,0))*(地价!B2:G2=E2)*(地价!B4:G16)),0)</f>
        <v>0</v>
      </c>
      <c r="N24" s="2062" t="s">
        <v>2008</v>
      </c>
      <c r="O24" s="2063" t="s">
        <v>2009</v>
      </c>
      <c r="P24" s="2064" t="s">
        <v>2010</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3328</v>
      </c>
      <c r="C25" s="3479">
        <f>IF(B25="容积率修正",IF(G3&lt;10,D26,J26),C27)</f>
        <v>0.96630000000000005</v>
      </c>
      <c r="D25" s="2067"/>
      <c r="E25" s="2067"/>
      <c r="F25" s="2067"/>
      <c r="G25" s="2067"/>
      <c r="H25" s="2067"/>
      <c r="I25" s="2067"/>
      <c r="J25" s="2068"/>
      <c r="K25" s="1125"/>
      <c r="L25" s="2788"/>
      <c r="M25" s="2788"/>
      <c r="N25" s="2069" t="s">
        <v>2011</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2012</v>
      </c>
      <c r="B26" s="2070" t="s">
        <v>2013</v>
      </c>
      <c r="C26" s="3345" t="s">
        <v>3250</v>
      </c>
      <c r="D26" s="3478">
        <f>IF(E26=G26,F26,IF(G3&lt;10,ROUND(F26+(H26-F26)*(G3-E26)/(G26-E26),4),"——"))</f>
        <v>0.96630000000000005</v>
      </c>
      <c r="E26" s="752">
        <f>ROUNDDOWN(G3,1)</f>
        <v>4.7</v>
      </c>
      <c r="F26" s="347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0.96630000000000005</v>
      </c>
      <c r="G26" s="752">
        <f>ROUNDUP(G3,1)</f>
        <v>4.7</v>
      </c>
      <c r="H26" s="347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0.96630000000000005</v>
      </c>
      <c r="I26" s="3345" t="s">
        <v>3251</v>
      </c>
      <c r="J26" s="772" t="str">
        <f>IF(G3&gt;=10,D115,"——")</f>
        <v>——</v>
      </c>
      <c r="K26" s="1125"/>
      <c r="L26" s="2788"/>
      <c r="M26" s="2788"/>
      <c r="N26" s="2069" t="s">
        <v>2014</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2015</v>
      </c>
      <c r="B27" s="2071" t="s">
        <v>2016</v>
      </c>
      <c r="C27" s="841">
        <f>ROUND(IF(I3&lt;6,SUMPRODUCT((B106:B110=I3)*(C105:N105=G2)*(C106:N110)),SUMIF(C105:N105,G2,C112:N112)),4)</f>
        <v>0</v>
      </c>
      <c r="D27" s="2046"/>
      <c r="E27" s="2046"/>
      <c r="F27" s="2072"/>
      <c r="G27" s="2073"/>
      <c r="H27" s="2074"/>
      <c r="I27" s="2075"/>
      <c r="J27" s="2076"/>
      <c r="K27" s="1119"/>
      <c r="L27" s="1997"/>
      <c r="M27" s="1997"/>
      <c r="N27" s="2069" t="s">
        <v>2017</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2018</v>
      </c>
      <c r="C28" s="760">
        <f>SUMIF(A47:A101,E2,B47:B101)</f>
        <v>1</v>
      </c>
      <c r="D28" s="2052"/>
      <c r="E28" s="2077"/>
      <c r="F28" s="2077"/>
      <c r="G28" s="2077"/>
      <c r="H28" s="2077"/>
      <c r="I28" s="2077"/>
      <c r="J28" s="2078"/>
      <c r="K28" s="1125"/>
      <c r="L28" s="2788"/>
      <c r="M28" s="2788"/>
      <c r="N28" s="2079" t="s">
        <v>2019</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2020</v>
      </c>
      <c r="C29" s="765"/>
      <c r="D29" s="2024"/>
      <c r="E29" s="2024"/>
      <c r="F29" s="2081"/>
      <c r="G29" s="2024"/>
      <c r="H29" s="2024"/>
      <c r="I29" s="2024"/>
      <c r="J29" s="2025"/>
      <c r="K29" s="1119"/>
      <c r="L29" s="1997"/>
      <c r="M29" s="1997"/>
      <c r="N29" s="2785" t="s">
        <v>2021</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2022</v>
      </c>
      <c r="C30" s="2321">
        <f>IF(B25="容积率修正",E33+SUM(E37:E42),SUM(V2:V16)+SUM(E37:E42))</f>
        <v>1664</v>
      </c>
      <c r="D30" s="2083"/>
      <c r="E30" s="2046"/>
      <c r="F30" s="2084"/>
      <c r="G30" s="2046"/>
      <c r="H30" s="2046"/>
      <c r="I30" s="2046"/>
      <c r="J30" s="2085"/>
      <c r="K30" s="1119"/>
      <c r="L30" s="3351" t="s">
        <v>1934</v>
      </c>
      <c r="M30" s="3352" t="s">
        <v>1988</v>
      </c>
      <c r="N30" s="3352" t="s">
        <v>1989</v>
      </c>
      <c r="O30" s="3352" t="s">
        <v>1990</v>
      </c>
      <c r="P30" s="3352" t="s">
        <v>1991</v>
      </c>
      <c r="Q30" s="3355" t="s">
        <v>3255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2023</v>
      </c>
      <c r="C31" s="766">
        <f>E34+SUM(I37:I42)</f>
        <v>0</v>
      </c>
      <c r="D31" s="2087"/>
      <c r="E31" s="2088"/>
      <c r="F31" s="2089"/>
      <c r="G31" s="2088"/>
      <c r="H31" s="2088"/>
      <c r="I31" s="2088"/>
      <c r="J31" s="2090"/>
      <c r="K31" s="1119"/>
      <c r="L31" s="3353" t="s">
        <v>1994</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2024</v>
      </c>
      <c r="C32" s="2093" t="s">
        <v>2025</v>
      </c>
      <c r="D32" s="2093" t="s">
        <v>2026</v>
      </c>
      <c r="E32" s="2094" t="s">
        <v>2027</v>
      </c>
      <c r="F32" s="2095"/>
      <c r="G32" s="2037"/>
      <c r="H32" s="2037"/>
      <c r="I32" s="2037"/>
      <c r="J32" s="2038"/>
      <c r="K32" s="1119"/>
      <c r="L32" s="3354" t="s">
        <v>1997</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2028</v>
      </c>
      <c r="C33" s="175">
        <f>ROUND(C5*C22*C23*C24*C25*C28,0)</f>
        <v>24733</v>
      </c>
      <c r="D33" s="2098">
        <f>'数据-汇总表'!F20</f>
        <v>672.88</v>
      </c>
      <c r="E33" s="773">
        <f>ROUND(C33*D33/10000,0)</f>
        <v>1664</v>
      </c>
      <c r="F33" s="3346" t="s">
        <v>3253</v>
      </c>
      <c r="G33" s="2099"/>
      <c r="H33" s="2099"/>
      <c r="I33" s="2099"/>
      <c r="J33" s="2100"/>
      <c r="K33" s="1119"/>
      <c r="L33" s="3349" t="s">
        <v>3256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2029</v>
      </c>
      <c r="C34" s="187">
        <f>ROUND(IF(E2="工业",C33*M42,IF(B25="楼层修正",SUM(V2:V16)*M41*10000/D34,C33*M41)),0)</f>
        <v>6183</v>
      </c>
      <c r="D34" s="2103"/>
      <c r="E34" s="773">
        <f>ROUND(IF(B25="楼层修正",SUM(V2:V16)*M40,C34*D34/10000),0)</f>
        <v>0</v>
      </c>
      <c r="F34" s="2104" t="s">
        <v>2030</v>
      </c>
      <c r="G34" s="2105"/>
      <c r="H34" s="2105"/>
      <c r="I34" s="2105"/>
      <c r="J34" s="2106"/>
      <c r="K34" s="1119"/>
      <c r="L34" s="3349" t="s">
        <v>3257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2031</v>
      </c>
      <c r="C35" s="3347" t="s">
        <v>3254</v>
      </c>
      <c r="D35" s="2037"/>
      <c r="E35" s="2109"/>
      <c r="F35" s="2109"/>
      <c r="G35" s="2035" t="s">
        <v>2032</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2025</v>
      </c>
      <c r="D36" s="447" t="s">
        <v>2026</v>
      </c>
      <c r="E36" s="447" t="s">
        <v>2027</v>
      </c>
      <c r="F36" s="342" t="s">
        <v>2033</v>
      </c>
      <c r="G36" s="2112" t="s">
        <v>2025</v>
      </c>
      <c r="H36" s="2112" t="s">
        <v>2026</v>
      </c>
      <c r="I36" s="2112" t="s">
        <v>2027</v>
      </c>
      <c r="J36" s="243"/>
      <c r="K36" s="3357" t="s">
        <v>3258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2034</v>
      </c>
      <c r="C37" s="175">
        <f>ROUND(D5*C22*C23*C24*C28*F37,0)</f>
        <v>17063</v>
      </c>
      <c r="D37" s="2098"/>
      <c r="E37" s="171">
        <f>ROUND(C37*D37/10000,0)</f>
        <v>0</v>
      </c>
      <c r="F37" s="171">
        <f>SUMIF(修正!A57:A68,G2,修正!B57:B68)</f>
        <v>0.7</v>
      </c>
      <c r="G37" s="171">
        <f>ROUND(IF(E2="工业",C37*$M$42,C37*$M$41),0)</f>
        <v>4266</v>
      </c>
      <c r="H37" s="171">
        <f>D37</f>
        <v>0</v>
      </c>
      <c r="I37" s="171">
        <f>ROUND(G37*H37/10000,0)</f>
        <v>0</v>
      </c>
      <c r="J37" s="3012"/>
      <c r="K37" s="3359" t="s">
        <v>3259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2035</v>
      </c>
      <c r="C38" s="175">
        <f>ROUND(D5*C22*C23*C24*C28*F38,0)</f>
        <v>9751</v>
      </c>
      <c r="D38" s="2098"/>
      <c r="E38" s="171">
        <f t="shared" ref="E38:E42" si="4">ROUND(C38*D38/10000,0)</f>
        <v>0</v>
      </c>
      <c r="F38" s="171">
        <f>SUMIF(修正!A57:A68,G2,修正!C57:C68)</f>
        <v>0.4</v>
      </c>
      <c r="G38" s="171">
        <f>ROUND(IF(E2="工业",C38*$M$42,C38*$M$41),0)</f>
        <v>2438</v>
      </c>
      <c r="H38" s="171">
        <f t="shared" ref="H38:H42" si="5">D38</f>
        <v>0</v>
      </c>
      <c r="I38" s="171">
        <f t="shared" ref="I38:I42" si="6">ROUND(G38*H38/10000,0)</f>
        <v>0</v>
      </c>
      <c r="J38" s="3484"/>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3252</v>
      </c>
      <c r="C39" s="175">
        <f>ROUND(D5*C22*C23*C24*C28*F39,0)</f>
        <v>7313</v>
      </c>
      <c r="D39" s="2098"/>
      <c r="E39" s="171">
        <f t="shared" si="4"/>
        <v>0</v>
      </c>
      <c r="F39" s="171">
        <f>SUMIF(修正!A57:A68,G2,修正!D57:D68)</f>
        <v>0.3</v>
      </c>
      <c r="G39" s="171">
        <f>ROUND(IF(E2="工业",C39*$M$42,C39*$M$41),0)</f>
        <v>1828</v>
      </c>
      <c r="H39" s="171">
        <f t="shared" si="5"/>
        <v>0</v>
      </c>
      <c r="I39" s="171">
        <f t="shared" si="6"/>
        <v>0</v>
      </c>
      <c r="J39" s="3484"/>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2036</v>
      </c>
      <c r="C40" s="171">
        <f>ROUND(D5*C22*C23*C24*C28*F40,0)</f>
        <v>7313</v>
      </c>
      <c r="D40" s="2098"/>
      <c r="E40" s="171">
        <f t="shared" si="4"/>
        <v>0</v>
      </c>
      <c r="F40" s="175">
        <f>SUMIF(修正!A57:A68,G2,修正!E57:E68)</f>
        <v>0.3</v>
      </c>
      <c r="G40" s="171">
        <f>ROUND(IF(E2="工业",C40*$M$42,C40*$M$41),0)</f>
        <v>1828</v>
      </c>
      <c r="H40" s="171">
        <f t="shared" si="5"/>
        <v>0</v>
      </c>
      <c r="I40" s="171">
        <f t="shared" si="6"/>
        <v>0</v>
      </c>
      <c r="J40" s="2114"/>
      <c r="L40" s="2116" t="s">
        <v>2037</v>
      </c>
      <c r="M40" s="2117"/>
      <c r="Z40" s="1120"/>
      <c r="AA40" s="1120"/>
      <c r="AB40" s="1120"/>
      <c r="AC40" s="1120"/>
      <c r="AD40" s="1120"/>
      <c r="AE40" s="1120"/>
      <c r="AF40" s="1120"/>
      <c r="AG40" s="1120"/>
      <c r="AH40" s="1120"/>
      <c r="AI40" s="1120"/>
      <c r="AJ40" s="1120"/>
    </row>
    <row r="41" spans="1:37" s="1119" customFormat="1">
      <c r="A41" s="2115"/>
      <c r="B41" s="2041" t="s">
        <v>2038</v>
      </c>
      <c r="C41" s="171">
        <f>ROUND(D5*C22*C23*C44*C28*F41,0)</f>
        <v>7313</v>
      </c>
      <c r="D41" s="2098"/>
      <c r="E41" s="171">
        <f t="shared" si="4"/>
        <v>0</v>
      </c>
      <c r="F41" s="175">
        <f>SUMIF(修正!A57:A68,G2,修正!F57:F68)</f>
        <v>0.3</v>
      </c>
      <c r="G41" s="171">
        <f>ROUND(IF(E2="工业",C41*$M$42,C41*$M$41),0)</f>
        <v>1828</v>
      </c>
      <c r="H41" s="171">
        <f t="shared" si="5"/>
        <v>0</v>
      </c>
      <c r="I41" s="171">
        <f t="shared" si="6"/>
        <v>0</v>
      </c>
      <c r="J41" s="2114"/>
      <c r="L41" s="3360" t="s">
        <v>3260</v>
      </c>
      <c r="M41" s="2118">
        <v>0.25</v>
      </c>
      <c r="Z41" s="1120"/>
      <c r="AA41" s="1120"/>
      <c r="AB41" s="1120"/>
      <c r="AC41" s="1120"/>
      <c r="AD41" s="1120"/>
      <c r="AE41" s="1120"/>
      <c r="AF41" s="1120"/>
      <c r="AG41" s="1120"/>
      <c r="AH41" s="1120"/>
      <c r="AI41" s="1120"/>
      <c r="AJ41" s="1120"/>
    </row>
    <row r="42" spans="1:37" s="1119" customFormat="1" ht="13.5" thickBot="1">
      <c r="A42" s="2101"/>
      <c r="B42" s="2119" t="s">
        <v>2039</v>
      </c>
      <c r="C42" s="187">
        <f>ROUND(D5*C22*C23*C44*C28*F42,0)</f>
        <v>4875</v>
      </c>
      <c r="D42" s="2103"/>
      <c r="E42" s="187">
        <f t="shared" si="4"/>
        <v>0</v>
      </c>
      <c r="F42" s="767">
        <f>SUMIF(修正!A57:A68,G2,修正!G57:G68)</f>
        <v>0.2</v>
      </c>
      <c r="G42" s="187">
        <f>ROUND(IF(E2="工业",C42*$M$42,C42*$M$41),0)</f>
        <v>1219</v>
      </c>
      <c r="H42" s="187">
        <f t="shared" si="5"/>
        <v>0</v>
      </c>
      <c r="I42" s="187">
        <f t="shared" si="6"/>
        <v>0</v>
      </c>
      <c r="J42" s="2120"/>
      <c r="L42" s="2121" t="s">
        <v>1991</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2120</v>
      </c>
      <c r="C44" s="342">
        <f>ROUND(POWER(1+E44,H44-G44)*(POWER(1+E44,G44)-1)/(POWER(1+E44,H44)-1),4)</f>
        <v>0.86009999999999998</v>
      </c>
      <c r="D44" s="171" t="s">
        <v>1997</v>
      </c>
      <c r="E44" s="2153">
        <f>G24</f>
        <v>5.5E-2</v>
      </c>
      <c r="F44" s="171" t="s">
        <v>2006</v>
      </c>
      <c r="G44" s="183">
        <f>项目基本情况!E15</f>
        <v>30.15</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2040</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2041</v>
      </c>
      <c r="B48" s="2127" t="e">
        <f>1+E50</f>
        <v>#VALUE!</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2042</v>
      </c>
      <c r="B49" s="1351" t="s">
        <v>2043</v>
      </c>
      <c r="C49" s="1351" t="s">
        <v>2044</v>
      </c>
      <c r="D49" s="1351" t="s">
        <v>2045</v>
      </c>
      <c r="E49" s="743" t="s">
        <v>2046</v>
      </c>
      <c r="F49" s="2131" t="s">
        <v>2047</v>
      </c>
      <c r="G49" s="1351" t="s">
        <v>310</v>
      </c>
      <c r="H49" s="2132" t="s">
        <v>2048</v>
      </c>
      <c r="I49" s="1351" t="s">
        <v>2049</v>
      </c>
      <c r="J49" s="552" t="s">
        <v>1719</v>
      </c>
      <c r="K49" s="552" t="s">
        <v>1720</v>
      </c>
      <c r="L49" s="552" t="s">
        <v>1721</v>
      </c>
      <c r="M49" s="552" t="s">
        <v>1722</v>
      </c>
      <c r="N49" s="552" t="s">
        <v>1723</v>
      </c>
      <c r="AA49" s="1120"/>
      <c r="AB49" s="1120"/>
      <c r="AC49" s="1120"/>
      <c r="AD49" s="1120"/>
      <c r="AE49" s="1120"/>
      <c r="AF49" s="1120"/>
      <c r="AG49" s="1120"/>
      <c r="AH49" s="1120"/>
      <c r="AI49" s="1120"/>
      <c r="AJ49" s="1120"/>
      <c r="AK49" s="1120"/>
    </row>
    <row r="50" spans="1:37" s="1119" customFormat="1" ht="24.75">
      <c r="A50" s="2130" t="s">
        <v>2050</v>
      </c>
      <c r="B50" s="2133">
        <f>估价对象房地状况!C4</f>
        <v>0</v>
      </c>
      <c r="C50" s="2044" t="s">
        <v>3405</v>
      </c>
      <c r="D50" s="1065" t="e">
        <f t="shared" ref="D50:D58" si="7">SUMIF($J$49:$N$49,C50,J50:N50)</f>
        <v>#VALUE!</v>
      </c>
      <c r="E50" s="744" t="e">
        <f>ROUND(SUM(D50:D58),4)</f>
        <v>#VALUE!</v>
      </c>
      <c r="F50" s="1814" t="str">
        <f>IF(E2="商业",SUMIF(L1:L12,G2,N1:N12),"——")</f>
        <v>——</v>
      </c>
      <c r="G50" s="1063" t="str">
        <f>H50</f>
        <v>——</v>
      </c>
      <c r="H50" s="1066" t="str">
        <f t="shared" ref="H50:H58" si="8">IFERROR(ROUNDDOWN($F$50*I50/2,4),"——")</f>
        <v>——</v>
      </c>
      <c r="I50" s="3367">
        <v>0.3</v>
      </c>
      <c r="J50" s="1064" t="e">
        <f t="shared" ref="J50:J58" si="9">K50+$G50</f>
        <v>#VALUE!</v>
      </c>
      <c r="K50" s="1064" t="e">
        <f t="shared" ref="K50:K58" si="10">$L50+$G50</f>
        <v>#VALUE!</v>
      </c>
      <c r="L50" s="1064">
        <v>0</v>
      </c>
      <c r="M50" s="1064" t="e">
        <f t="shared" ref="M50:N58" si="11">L50-$G50</f>
        <v>#VALUE!</v>
      </c>
      <c r="N50" s="1064" t="e">
        <f t="shared" si="11"/>
        <v>#VALUE!</v>
      </c>
      <c r="AA50" s="1120"/>
      <c r="AB50" s="1120"/>
      <c r="AC50" s="1120"/>
      <c r="AD50" s="1120"/>
      <c r="AE50" s="1120"/>
      <c r="AF50" s="1120"/>
      <c r="AG50" s="1120"/>
      <c r="AH50" s="1120"/>
      <c r="AI50" s="1120"/>
      <c r="AJ50" s="1120"/>
      <c r="AK50" s="1120"/>
    </row>
    <row r="51" spans="1:37" s="1119" customFormat="1" ht="14.25">
      <c r="A51" s="2130" t="s">
        <v>2051</v>
      </c>
      <c r="B51" s="2134">
        <f>估价对象房地状况!C18</f>
        <v>0</v>
      </c>
      <c r="C51" s="2044" t="s">
        <v>3405</v>
      </c>
      <c r="D51" s="1065" t="e">
        <f t="shared" si="7"/>
        <v>#VALUE!</v>
      </c>
      <c r="E51" s="745"/>
      <c r="F51" s="1814"/>
      <c r="G51" s="1063" t="str">
        <f t="shared" ref="G51:G58" si="12">H51</f>
        <v>——</v>
      </c>
      <c r="H51" s="1066" t="str">
        <f t="shared" si="8"/>
        <v>——</v>
      </c>
      <c r="I51" s="3367">
        <v>0.22</v>
      </c>
      <c r="J51" s="1064" t="e">
        <f t="shared" si="9"/>
        <v>#VALUE!</v>
      </c>
      <c r="K51" s="1064" t="e">
        <f t="shared" si="10"/>
        <v>#VALUE!</v>
      </c>
      <c r="L51" s="1064">
        <v>0</v>
      </c>
      <c r="M51" s="1064" t="e">
        <f t="shared" si="11"/>
        <v>#VALUE!</v>
      </c>
      <c r="N51" s="1064" t="e">
        <f t="shared" si="11"/>
        <v>#VALUE!</v>
      </c>
      <c r="AA51" s="1120"/>
      <c r="AB51" s="1120"/>
      <c r="AC51" s="1120"/>
      <c r="AD51" s="1120"/>
      <c r="AE51" s="1120"/>
      <c r="AF51" s="1120"/>
      <c r="AG51" s="1120"/>
      <c r="AH51" s="1120"/>
      <c r="AI51" s="1120"/>
      <c r="AJ51" s="1120"/>
      <c r="AK51" s="1120"/>
    </row>
    <row r="52" spans="1:37" s="1119" customFormat="1" ht="36">
      <c r="A52" s="3369" t="s">
        <v>3262</v>
      </c>
      <c r="B52" s="2134">
        <f>估价对象房地状况!C19</f>
        <v>0</v>
      </c>
      <c r="C52" s="2044" t="s">
        <v>3405</v>
      </c>
      <c r="D52" s="1065" t="e">
        <f t="shared" si="7"/>
        <v>#VALUE!</v>
      </c>
      <c r="E52" s="745"/>
      <c r="F52" s="1814"/>
      <c r="G52" s="1063" t="str">
        <f t="shared" si="12"/>
        <v>——</v>
      </c>
      <c r="H52" s="1066" t="str">
        <f t="shared" si="8"/>
        <v>——</v>
      </c>
      <c r="I52" s="3367">
        <v>0.12</v>
      </c>
      <c r="J52" s="1064" t="e">
        <f t="shared" si="9"/>
        <v>#VALUE!</v>
      </c>
      <c r="K52" s="1064" t="e">
        <f t="shared" si="10"/>
        <v>#VALUE!</v>
      </c>
      <c r="L52" s="1064">
        <v>0</v>
      </c>
      <c r="M52" s="1064" t="e">
        <f t="shared" si="11"/>
        <v>#VALUE!</v>
      </c>
      <c r="N52" s="1064" t="e">
        <f t="shared" si="11"/>
        <v>#VALUE!</v>
      </c>
      <c r="AA52" s="1120"/>
      <c r="AB52" s="1120"/>
      <c r="AC52" s="1120"/>
      <c r="AD52" s="1120"/>
      <c r="AE52" s="1120"/>
      <c r="AF52" s="1120"/>
      <c r="AG52" s="1120"/>
      <c r="AH52" s="1120"/>
      <c r="AI52" s="1120"/>
      <c r="AJ52" s="1120"/>
      <c r="AK52" s="1120"/>
    </row>
    <row r="53" spans="1:37" s="1119" customFormat="1" ht="36.75">
      <c r="A53" s="2130" t="s">
        <v>2052</v>
      </c>
      <c r="B53" s="2135" t="s">
        <v>2053</v>
      </c>
      <c r="C53" s="2044" t="s">
        <v>3405</v>
      </c>
      <c r="D53" s="1065" t="e">
        <f t="shared" si="7"/>
        <v>#VALUE!</v>
      </c>
      <c r="E53" s="745"/>
      <c r="F53" s="1814"/>
      <c r="G53" s="1063" t="str">
        <f t="shared" si="12"/>
        <v>——</v>
      </c>
      <c r="H53" s="1066" t="str">
        <f t="shared" si="8"/>
        <v>——</v>
      </c>
      <c r="I53" s="3367">
        <v>0.05</v>
      </c>
      <c r="J53" s="1064" t="e">
        <f t="shared" si="9"/>
        <v>#VALUE!</v>
      </c>
      <c r="K53" s="1064" t="e">
        <f t="shared" si="10"/>
        <v>#VALUE!</v>
      </c>
      <c r="L53" s="1064">
        <v>0</v>
      </c>
      <c r="M53" s="1064" t="e">
        <f t="shared" si="11"/>
        <v>#VALUE!</v>
      </c>
      <c r="N53" s="1064" t="e">
        <f t="shared" si="11"/>
        <v>#VALUE!</v>
      </c>
      <c r="AA53" s="1120"/>
      <c r="AB53" s="1120"/>
      <c r="AC53" s="1120"/>
      <c r="AD53" s="1120"/>
      <c r="AE53" s="1120"/>
      <c r="AF53" s="1120"/>
      <c r="AG53" s="1120"/>
      <c r="AH53" s="1120"/>
      <c r="AI53" s="1120"/>
      <c r="AJ53" s="1120"/>
      <c r="AK53" s="1120"/>
    </row>
    <row r="54" spans="1:37" s="1119" customFormat="1" ht="24">
      <c r="A54" s="2130" t="s">
        <v>2054</v>
      </c>
      <c r="B54" s="2134">
        <f>估价对象房地状况!C24</f>
        <v>0</v>
      </c>
      <c r="C54" s="2044" t="s">
        <v>3405</v>
      </c>
      <c r="D54" s="1065" t="e">
        <f t="shared" si="7"/>
        <v>#VALUE!</v>
      </c>
      <c r="E54" s="745"/>
      <c r="F54" s="1814"/>
      <c r="G54" s="1063" t="str">
        <f t="shared" si="12"/>
        <v>——</v>
      </c>
      <c r="H54" s="1066" t="str">
        <f t="shared" si="8"/>
        <v>——</v>
      </c>
      <c r="I54" s="3367">
        <v>0.08</v>
      </c>
      <c r="J54" s="1064" t="e">
        <f t="shared" si="9"/>
        <v>#VALUE!</v>
      </c>
      <c r="K54" s="1064" t="e">
        <f t="shared" si="10"/>
        <v>#VALUE!</v>
      </c>
      <c r="L54" s="1064">
        <v>0</v>
      </c>
      <c r="M54" s="1064" t="e">
        <f t="shared" si="11"/>
        <v>#VALUE!</v>
      </c>
      <c r="N54" s="1064" t="e">
        <f t="shared" si="11"/>
        <v>#VALUE!</v>
      </c>
      <c r="AA54" s="1120"/>
      <c r="AB54" s="1120"/>
      <c r="AC54" s="1120"/>
      <c r="AD54" s="1120"/>
      <c r="AE54" s="1120"/>
      <c r="AF54" s="1120"/>
      <c r="AG54" s="1120"/>
      <c r="AH54" s="1120"/>
      <c r="AI54" s="1120"/>
      <c r="AJ54" s="1120"/>
      <c r="AK54" s="1120"/>
    </row>
    <row r="55" spans="1:37" s="1119" customFormat="1" ht="24">
      <c r="A55" s="2130" t="s">
        <v>2055</v>
      </c>
      <c r="B55" s="2136" t="s">
        <v>2056</v>
      </c>
      <c r="C55" s="2044" t="s">
        <v>3405</v>
      </c>
      <c r="D55" s="1065" t="e">
        <f t="shared" si="7"/>
        <v>#VALUE!</v>
      </c>
      <c r="E55" s="745"/>
      <c r="F55" s="1814"/>
      <c r="G55" s="1063" t="str">
        <f t="shared" si="12"/>
        <v>——</v>
      </c>
      <c r="H55" s="1066" t="str">
        <f t="shared" si="8"/>
        <v>——</v>
      </c>
      <c r="I55" s="3367">
        <v>0.05</v>
      </c>
      <c r="J55" s="1064" t="e">
        <f t="shared" si="9"/>
        <v>#VALUE!</v>
      </c>
      <c r="K55" s="1064" t="e">
        <f t="shared" si="10"/>
        <v>#VALUE!</v>
      </c>
      <c r="L55" s="1064">
        <v>0</v>
      </c>
      <c r="M55" s="1064" t="e">
        <f t="shared" si="11"/>
        <v>#VALUE!</v>
      </c>
      <c r="N55" s="1064" t="e">
        <f t="shared" si="11"/>
        <v>#VALUE!</v>
      </c>
      <c r="AA55" s="1120"/>
      <c r="AB55" s="1120"/>
      <c r="AC55" s="1120"/>
      <c r="AD55" s="1120"/>
      <c r="AE55" s="1120"/>
      <c r="AF55" s="1120"/>
      <c r="AG55" s="1120"/>
      <c r="AH55" s="1120"/>
      <c r="AI55" s="1120"/>
      <c r="AJ55" s="1120"/>
      <c r="AK55" s="1120"/>
    </row>
    <row r="56" spans="1:37" s="1119" customFormat="1" ht="24">
      <c r="A56" s="2137" t="s">
        <v>2057</v>
      </c>
      <c r="B56" s="1326">
        <f>估价对象房地状况!C21</f>
        <v>0</v>
      </c>
      <c r="C56" s="2044" t="s">
        <v>3405</v>
      </c>
      <c r="D56" s="1065" t="e">
        <f t="shared" si="7"/>
        <v>#VALUE!</v>
      </c>
      <c r="E56" s="745"/>
      <c r="F56" s="1814"/>
      <c r="G56" s="1063" t="str">
        <f t="shared" si="12"/>
        <v>——</v>
      </c>
      <c r="H56" s="1066" t="str">
        <f t="shared" si="8"/>
        <v>——</v>
      </c>
      <c r="I56" s="3367">
        <v>0.05</v>
      </c>
      <c r="J56" s="1064" t="e">
        <f t="shared" si="9"/>
        <v>#VALUE!</v>
      </c>
      <c r="K56" s="1064" t="e">
        <f t="shared" si="10"/>
        <v>#VALUE!</v>
      </c>
      <c r="L56" s="1064">
        <v>0</v>
      </c>
      <c r="M56" s="1064" t="e">
        <f t="shared" si="11"/>
        <v>#VALUE!</v>
      </c>
      <c r="N56" s="1064" t="e">
        <f t="shared" si="11"/>
        <v>#VALUE!</v>
      </c>
      <c r="AA56" s="1120"/>
      <c r="AB56" s="1120"/>
      <c r="AC56" s="1120"/>
      <c r="AD56" s="1120"/>
      <c r="AE56" s="1120"/>
      <c r="AF56" s="1120"/>
      <c r="AG56" s="1120"/>
      <c r="AH56" s="1120"/>
      <c r="AI56" s="1120"/>
      <c r="AJ56" s="1120"/>
      <c r="AK56" s="1120"/>
    </row>
    <row r="57" spans="1:37" s="1119" customFormat="1" ht="24">
      <c r="A57" s="2137" t="s">
        <v>2058</v>
      </c>
      <c r="B57" s="2134">
        <f>估价对象房地状况!C22</f>
        <v>0</v>
      </c>
      <c r="C57" s="2044" t="s">
        <v>3406</v>
      </c>
      <c r="D57" s="1065" t="e">
        <f t="shared" si="7"/>
        <v>#VALUE!</v>
      </c>
      <c r="E57" s="745"/>
      <c r="F57" s="1814"/>
      <c r="G57" s="1063" t="str">
        <f t="shared" si="12"/>
        <v>——</v>
      </c>
      <c r="H57" s="1066" t="str">
        <f t="shared" si="8"/>
        <v>——</v>
      </c>
      <c r="I57" s="3367">
        <v>0.08</v>
      </c>
      <c r="J57" s="1064" t="e">
        <f t="shared" si="9"/>
        <v>#VALUE!</v>
      </c>
      <c r="K57" s="1064" t="e">
        <f t="shared" si="10"/>
        <v>#VALUE!</v>
      </c>
      <c r="L57" s="1064">
        <v>0</v>
      </c>
      <c r="M57" s="1064" t="e">
        <f t="shared" si="11"/>
        <v>#VALUE!</v>
      </c>
      <c r="N57" s="1064" t="e">
        <f t="shared" si="11"/>
        <v>#VALUE!</v>
      </c>
      <c r="AA57" s="1120"/>
      <c r="AB57" s="1120"/>
      <c r="AC57" s="1120"/>
      <c r="AD57" s="1120"/>
      <c r="AE57" s="1120"/>
      <c r="AF57" s="1120"/>
      <c r="AG57" s="1120"/>
      <c r="AH57" s="1120"/>
      <c r="AI57" s="1120"/>
      <c r="AJ57" s="1120"/>
      <c r="AK57" s="1120"/>
    </row>
    <row r="58" spans="1:37" s="1119" customFormat="1" ht="24.75" thickBot="1">
      <c r="A58" s="2138" t="s">
        <v>2059</v>
      </c>
      <c r="B58" s="2139">
        <f>估价对象房地状况!C20</f>
        <v>0</v>
      </c>
      <c r="C58" s="2044" t="s">
        <v>3405</v>
      </c>
      <c r="D58" s="1065" t="e">
        <f t="shared" si="7"/>
        <v>#VALUE!</v>
      </c>
      <c r="E58" s="746"/>
      <c r="F58" s="1814"/>
      <c r="G58" s="1063" t="str">
        <f t="shared" si="12"/>
        <v>——</v>
      </c>
      <c r="H58" s="1066" t="str">
        <f t="shared" si="8"/>
        <v>——</v>
      </c>
      <c r="I58" s="3368">
        <v>0.05</v>
      </c>
      <c r="J58" s="1064" t="e">
        <f t="shared" si="9"/>
        <v>#VALUE!</v>
      </c>
      <c r="K58" s="1064" t="e">
        <f t="shared" si="10"/>
        <v>#VALUE!</v>
      </c>
      <c r="L58" s="1064">
        <v>0</v>
      </c>
      <c r="M58" s="1064" t="e">
        <f t="shared" si="11"/>
        <v>#VALUE!</v>
      </c>
      <c r="N58" s="1064" t="e">
        <f t="shared" si="11"/>
        <v>#VALUE!</v>
      </c>
      <c r="AA58" s="1120"/>
      <c r="AB58" s="1120"/>
      <c r="AC58" s="1120"/>
      <c r="AD58" s="1120"/>
      <c r="AE58" s="1120"/>
      <c r="AF58" s="1120"/>
      <c r="AG58" s="1120"/>
      <c r="AH58" s="1120"/>
      <c r="AI58" s="1120"/>
      <c r="AJ58" s="1120"/>
      <c r="AK58" s="1120"/>
    </row>
    <row r="59" spans="1:37" s="1119" customFormat="1" ht="15">
      <c r="A59" s="2126" t="s">
        <v>2060</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2042</v>
      </c>
      <c r="B60" s="1351"/>
      <c r="C60" s="1351" t="s">
        <v>2044</v>
      </c>
      <c r="D60" s="1351" t="s">
        <v>2045</v>
      </c>
      <c r="E60" s="743" t="s">
        <v>2046</v>
      </c>
      <c r="F60" s="2131" t="s">
        <v>2061</v>
      </c>
      <c r="G60" s="1351" t="s">
        <v>310</v>
      </c>
      <c r="H60" s="2132" t="s">
        <v>2048</v>
      </c>
      <c r="I60" s="1351" t="s">
        <v>2049</v>
      </c>
      <c r="J60" s="552" t="s">
        <v>1719</v>
      </c>
      <c r="K60" s="552" t="s">
        <v>1720</v>
      </c>
      <c r="L60" s="552" t="s">
        <v>1721</v>
      </c>
      <c r="M60" s="552" t="s">
        <v>1722</v>
      </c>
      <c r="N60" s="552" t="s">
        <v>1723</v>
      </c>
      <c r="AA60" s="1120"/>
      <c r="AB60" s="1120"/>
      <c r="AC60" s="1120"/>
      <c r="AD60" s="1120"/>
      <c r="AE60" s="1120"/>
      <c r="AF60" s="1120"/>
      <c r="AG60" s="1120"/>
      <c r="AH60" s="1120"/>
      <c r="AI60" s="1120"/>
      <c r="AJ60" s="1120"/>
      <c r="AK60" s="1120"/>
    </row>
    <row r="61" spans="1:37" s="1119" customFormat="1" ht="24">
      <c r="A61" s="2130" t="s">
        <v>2062</v>
      </c>
      <c r="B61" s="2133">
        <f>估价对象房地状况!C17</f>
        <v>0</v>
      </c>
      <c r="C61" s="2044"/>
      <c r="D61" s="1065">
        <f t="shared" ref="D61:D69" si="13">SUMIF($J$60:$N$60,C61,J61:N61)</f>
        <v>0</v>
      </c>
      <c r="E61" s="744">
        <f>ROUND(SUM(D61:D69),4)</f>
        <v>0</v>
      </c>
      <c r="F61" s="1814">
        <f>IF(E2="办公",SUMIF(L1:L12,G2,N1:N12),"——")</f>
        <v>9.9000000000000005E-2</v>
      </c>
      <c r="G61" s="1063"/>
      <c r="H61" s="1066">
        <f t="shared" ref="H61:H69" si="14">IFERROR(ROUNDDOWN($F$61*I61/2,4),"——")</f>
        <v>1.23E-2</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14.25">
      <c r="A62" s="2130" t="s">
        <v>2051</v>
      </c>
      <c r="B62" s="2134">
        <f>估价对象房地状况!C18</f>
        <v>0</v>
      </c>
      <c r="C62" s="2044"/>
      <c r="D62" s="1065">
        <f t="shared" si="13"/>
        <v>0</v>
      </c>
      <c r="E62" s="745"/>
      <c r="F62" s="1814"/>
      <c r="G62" s="1063"/>
      <c r="H62" s="1066">
        <f t="shared" si="14"/>
        <v>1.2800000000000001E-2</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3262</v>
      </c>
      <c r="B63" s="2134">
        <f>估价对象房地状况!C19</f>
        <v>0</v>
      </c>
      <c r="C63" s="2044"/>
      <c r="D63" s="1065">
        <f t="shared" si="13"/>
        <v>0</v>
      </c>
      <c r="E63" s="745"/>
      <c r="F63" s="1814"/>
      <c r="G63" s="1063"/>
      <c r="H63" s="1066">
        <f t="shared" si="14"/>
        <v>5.4000000000000003E-3</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2052</v>
      </c>
      <c r="B64" s="2135" t="s">
        <v>2053</v>
      </c>
      <c r="C64" s="2044"/>
      <c r="D64" s="1065">
        <f t="shared" si="13"/>
        <v>0</v>
      </c>
      <c r="E64" s="745"/>
      <c r="F64" s="1814"/>
      <c r="G64" s="1063"/>
      <c r="H64" s="1066">
        <f t="shared" si="14"/>
        <v>2.3999999999999998E-3</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2054</v>
      </c>
      <c r="B65" s="2134">
        <f>估价对象房地状况!C24</f>
        <v>0</v>
      </c>
      <c r="C65" s="2044"/>
      <c r="D65" s="1065">
        <f t="shared" si="13"/>
        <v>0</v>
      </c>
      <c r="E65" s="745"/>
      <c r="F65" s="1814"/>
      <c r="G65" s="1063"/>
      <c r="H65" s="1066">
        <f t="shared" si="14"/>
        <v>2.3999999999999998E-3</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2055</v>
      </c>
      <c r="B66" s="2136" t="s">
        <v>2056</v>
      </c>
      <c r="C66" s="2044"/>
      <c r="D66" s="1065">
        <f t="shared" si="13"/>
        <v>0</v>
      </c>
      <c r="E66" s="745"/>
      <c r="F66" s="1814"/>
      <c r="G66" s="1063"/>
      <c r="H66" s="1066">
        <f t="shared" si="14"/>
        <v>2.8999999999999998E-3</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4">
      <c r="A67" s="2130" t="s">
        <v>2057</v>
      </c>
      <c r="B67" s="1326">
        <f>估价对象房地状况!C21</f>
        <v>0</v>
      </c>
      <c r="C67" s="2044"/>
      <c r="D67" s="1065">
        <f t="shared" si="13"/>
        <v>0</v>
      </c>
      <c r="E67" s="745"/>
      <c r="F67" s="1814"/>
      <c r="G67" s="1063"/>
      <c r="H67" s="1066">
        <f t="shared" si="14"/>
        <v>2.8999999999999998E-3</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4">
      <c r="A68" s="2130" t="s">
        <v>2058</v>
      </c>
      <c r="B68" s="1326">
        <f>估价对象房地状况!C22</f>
        <v>0</v>
      </c>
      <c r="C68" s="2044"/>
      <c r="D68" s="1065">
        <f t="shared" si="13"/>
        <v>0</v>
      </c>
      <c r="E68" s="745"/>
      <c r="F68" s="1814"/>
      <c r="G68" s="1063"/>
      <c r="H68" s="1066">
        <f t="shared" si="14"/>
        <v>4.4000000000000003E-3</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4.75" thickBot="1">
      <c r="A69" s="2138" t="s">
        <v>2059</v>
      </c>
      <c r="B69" s="2140">
        <f>估价对象房地状况!C20</f>
        <v>0</v>
      </c>
      <c r="C69" s="2044"/>
      <c r="D69" s="1065">
        <f t="shared" si="13"/>
        <v>0</v>
      </c>
      <c r="E69" s="746"/>
      <c r="F69" s="1814"/>
      <c r="G69" s="1063"/>
      <c r="H69" s="1066">
        <f t="shared" si="14"/>
        <v>3.3999999999999998E-3</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2063</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2042</v>
      </c>
      <c r="B71" s="1351"/>
      <c r="C71" s="1351" t="s">
        <v>2044</v>
      </c>
      <c r="D71" s="1351" t="s">
        <v>2045</v>
      </c>
      <c r="E71" s="743" t="s">
        <v>2046</v>
      </c>
      <c r="F71" s="2131" t="s">
        <v>2061</v>
      </c>
      <c r="G71" s="1351" t="s">
        <v>310</v>
      </c>
      <c r="H71" s="2132" t="s">
        <v>2048</v>
      </c>
      <c r="I71" s="1351" t="s">
        <v>2049</v>
      </c>
      <c r="J71" s="552" t="s">
        <v>1719</v>
      </c>
      <c r="K71" s="552" t="s">
        <v>1720</v>
      </c>
      <c r="L71" s="552" t="s">
        <v>1721</v>
      </c>
      <c r="M71" s="552" t="s">
        <v>1722</v>
      </c>
      <c r="N71" s="552" t="s">
        <v>1723</v>
      </c>
      <c r="AA71" s="1120"/>
      <c r="AB71" s="1120"/>
      <c r="AC71" s="1120"/>
      <c r="AD71" s="1120"/>
      <c r="AE71" s="1120"/>
      <c r="AF71" s="1120"/>
      <c r="AG71" s="1120"/>
      <c r="AH71" s="1120"/>
      <c r="AI71" s="1120"/>
      <c r="AJ71" s="1120"/>
      <c r="AK71" s="1120"/>
    </row>
    <row r="72" spans="1:37" s="1119" customFormat="1" ht="24">
      <c r="A72" s="2130" t="s">
        <v>2064</v>
      </c>
      <c r="B72" s="2133">
        <f>估价对象房地状况!C15</f>
        <v>0</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14.25">
      <c r="A73" s="2130" t="s">
        <v>2051</v>
      </c>
      <c r="B73" s="2134">
        <f>估价对象房地状况!C18</f>
        <v>0</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3262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2065</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4">
      <c r="A76" s="2130" t="s">
        <v>2057</v>
      </c>
      <c r="B76" s="1326">
        <f>估价对象房地状况!C21</f>
        <v>0</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4">
      <c r="A77" s="2130" t="s">
        <v>2058</v>
      </c>
      <c r="B77" s="1326">
        <f>估价对象房地状况!C22</f>
        <v>0</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2055</v>
      </c>
      <c r="B78" s="2136" t="s">
        <v>2056</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4">
      <c r="A79" s="2130" t="s">
        <v>2059</v>
      </c>
      <c r="B79" s="2133">
        <f>估价对象房地状况!C20</f>
        <v>0</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2066</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2067</v>
      </c>
      <c r="B81" s="2127">
        <f>1+E83</f>
        <v>1</v>
      </c>
      <c r="C81" s="741"/>
      <c r="D81" s="741"/>
      <c r="E81" s="742"/>
      <c r="F81" s="2129"/>
      <c r="G81" s="3"/>
      <c r="H81" s="3"/>
      <c r="I81" s="3"/>
      <c r="J81" s="4"/>
      <c r="K81" s="4"/>
      <c r="L81" s="4"/>
      <c r="M81" s="4"/>
      <c r="N81" s="4"/>
      <c r="Z81" s="1998"/>
      <c r="AA81" s="2053"/>
      <c r="AG81" s="1121"/>
      <c r="AK81" s="2053"/>
    </row>
    <row r="82" spans="1:37" ht="24.75">
      <c r="A82" s="2130" t="s">
        <v>2042</v>
      </c>
      <c r="B82" s="1351"/>
      <c r="C82" s="1351" t="s">
        <v>2044</v>
      </c>
      <c r="D82" s="1351" t="s">
        <v>2045</v>
      </c>
      <c r="E82" s="743" t="s">
        <v>2046</v>
      </c>
      <c r="F82" s="2131" t="s">
        <v>2061</v>
      </c>
      <c r="G82" s="1351" t="s">
        <v>310</v>
      </c>
      <c r="H82" s="2132" t="s">
        <v>2048</v>
      </c>
      <c r="I82" s="1351" t="s">
        <v>2049</v>
      </c>
      <c r="J82" s="552" t="s">
        <v>1719</v>
      </c>
      <c r="K82" s="552" t="s">
        <v>1720</v>
      </c>
      <c r="L82" s="552" t="s">
        <v>1721</v>
      </c>
      <c r="M82" s="552" t="s">
        <v>1722</v>
      </c>
      <c r="N82" s="552" t="s">
        <v>1723</v>
      </c>
      <c r="Z82" s="1998"/>
      <c r="AA82" s="2053"/>
      <c r="AG82" s="1121"/>
      <c r="AK82" s="2053"/>
    </row>
    <row r="83" spans="1:37" ht="24">
      <c r="A83" s="2130" t="s">
        <v>2068</v>
      </c>
      <c r="B83" s="2134">
        <f>估价对象房地状况!G15</f>
        <v>0</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14.25">
      <c r="A84" s="2130" t="s">
        <v>2051</v>
      </c>
      <c r="B84" s="2134">
        <f>估价对象房地状况!G16</f>
        <v>0</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3262</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2065</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4">
      <c r="A87" s="2130" t="s">
        <v>2057</v>
      </c>
      <c r="B87" s="1326">
        <f>估价对象房地状况!G19</f>
        <v>0</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4">
      <c r="A88" s="2130" t="s">
        <v>2058</v>
      </c>
      <c r="B88" s="1326">
        <f>估价对象房地状况!G20</f>
        <v>0</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2055</v>
      </c>
      <c r="B89" s="2136" t="s">
        <v>2069</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15" thickBot="1">
      <c r="A90" s="2138" t="s">
        <v>2070</v>
      </c>
      <c r="B90" s="2143">
        <f>估价对象房地状况!G18</f>
        <v>0</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2605</v>
      </c>
      <c r="B91" s="3378">
        <f>1+E93</f>
        <v>1</v>
      </c>
      <c r="C91" s="3371"/>
      <c r="D91" s="3372"/>
      <c r="E91" s="1814"/>
      <c r="F91" s="1814"/>
      <c r="G91" s="3373"/>
      <c r="H91" s="3374"/>
      <c r="I91" s="3375"/>
      <c r="J91" s="3376"/>
      <c r="K91" s="3376"/>
      <c r="L91" s="3376"/>
      <c r="M91" s="3376"/>
      <c r="N91" s="3376"/>
    </row>
    <row r="92" spans="1:37" ht="24.75">
      <c r="A92" s="3379" t="s">
        <v>2042</v>
      </c>
      <c r="B92" s="3366"/>
      <c r="C92" s="3366" t="s">
        <v>2044</v>
      </c>
      <c r="D92" s="3366" t="s">
        <v>2045</v>
      </c>
      <c r="E92" s="3348" t="s">
        <v>2046</v>
      </c>
      <c r="F92" s="3381" t="s">
        <v>3276</v>
      </c>
      <c r="G92" s="3366" t="s">
        <v>1987</v>
      </c>
      <c r="H92" s="3388" t="s">
        <v>3280</v>
      </c>
      <c r="I92" s="3366" t="s">
        <v>2049</v>
      </c>
      <c r="J92" s="3389" t="s">
        <v>3282</v>
      </c>
      <c r="K92" s="3389" t="s">
        <v>3283</v>
      </c>
      <c r="L92" s="3389" t="s">
        <v>3284</v>
      </c>
      <c r="M92" s="3389" t="s">
        <v>3285</v>
      </c>
      <c r="N92" s="3389" t="s">
        <v>3286</v>
      </c>
    </row>
    <row r="93" spans="1:37" ht="24">
      <c r="A93" s="3369" t="s">
        <v>3265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14.25">
      <c r="A94" s="3379" t="s">
        <v>2051</v>
      </c>
      <c r="B94" s="3370">
        <f>估价对象房地状况!C18</f>
        <v>0</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2052</v>
      </c>
      <c r="B96" s="3385" t="s">
        <v>3278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2054</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2055</v>
      </c>
      <c r="B98" s="3386" t="s">
        <v>3279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4">
      <c r="A99" s="3379" t="s">
        <v>2057</v>
      </c>
      <c r="B99" s="3370">
        <f>估价对象房地状况!C21</f>
        <v>0</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4">
      <c r="A100" s="3379" t="s">
        <v>2058</v>
      </c>
      <c r="B100" s="3370">
        <f>估价对象房地状况!C22</f>
        <v>0</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4.75" thickBot="1">
      <c r="A101" s="3380" t="s">
        <v>2059</v>
      </c>
      <c r="B101" s="3387">
        <f>估价对象房地状况!C20</f>
        <v>0</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3287</v>
      </c>
      <c r="B103" s="3754"/>
      <c r="C103" s="3754"/>
      <c r="D103" s="3754"/>
      <c r="E103" s="3754"/>
      <c r="F103" s="3754"/>
      <c r="G103" s="3754"/>
      <c r="H103" s="3754"/>
      <c r="I103" s="3754"/>
      <c r="J103" s="3754"/>
      <c r="K103" s="3482"/>
      <c r="L103" s="3482"/>
      <c r="M103" s="3482"/>
      <c r="N103" s="3482"/>
    </row>
    <row r="104" spans="1:14">
      <c r="A104" s="3755" t="s">
        <v>3288</v>
      </c>
      <c r="B104" s="3755" t="s">
        <v>3289</v>
      </c>
      <c r="C104" s="3391" t="s">
        <v>3290</v>
      </c>
      <c r="D104" s="3392"/>
      <c r="E104" s="3392"/>
      <c r="F104" s="3392"/>
      <c r="G104" s="3392"/>
      <c r="H104" s="3392"/>
      <c r="I104" s="3392"/>
      <c r="J104" s="3393"/>
      <c r="K104" s="3394"/>
      <c r="L104" s="3394"/>
      <c r="M104" s="3394"/>
      <c r="N104" s="3394"/>
    </row>
    <row r="105" spans="1:14">
      <c r="A105" s="3755"/>
      <c r="B105" s="3755"/>
      <c r="C105" s="3483" t="s">
        <v>1959</v>
      </c>
      <c r="D105" s="3483" t="s">
        <v>1960</v>
      </c>
      <c r="E105" s="3483" t="s">
        <v>1961</v>
      </c>
      <c r="F105" s="3483" t="s">
        <v>1962</v>
      </c>
      <c r="G105" s="3483" t="s">
        <v>1963</v>
      </c>
      <c r="H105" s="3483" t="s">
        <v>1964</v>
      </c>
      <c r="I105" s="3483" t="s">
        <v>1965</v>
      </c>
      <c r="J105" s="3483" t="s">
        <v>1966</v>
      </c>
      <c r="K105" s="3483" t="s">
        <v>1967</v>
      </c>
      <c r="L105" s="3483" t="s">
        <v>1968</v>
      </c>
      <c r="M105" s="3483" t="s">
        <v>1969</v>
      </c>
      <c r="N105" s="3483" t="s">
        <v>1970</v>
      </c>
    </row>
    <row r="106" spans="1:14">
      <c r="A106" s="3741" t="s">
        <v>3303</v>
      </c>
      <c r="B106" s="3483">
        <v>1</v>
      </c>
      <c r="C106" s="3483">
        <v>1.5206</v>
      </c>
      <c r="D106" s="3483">
        <v>1.5206</v>
      </c>
      <c r="E106" s="3483">
        <v>1.5019</v>
      </c>
      <c r="F106" s="3483">
        <v>1.5019</v>
      </c>
      <c r="G106" s="3483">
        <v>1.5019</v>
      </c>
      <c r="H106" s="3483">
        <v>1.5019</v>
      </c>
      <c r="I106" s="3483">
        <v>1.5019</v>
      </c>
      <c r="J106" s="3483">
        <v>1.5418000000000001</v>
      </c>
      <c r="K106" s="3483">
        <v>1.5418000000000001</v>
      </c>
      <c r="L106" s="3483">
        <v>1.5418000000000001</v>
      </c>
      <c r="M106" s="3483">
        <v>1.5418000000000001</v>
      </c>
      <c r="N106" s="3483">
        <v>1.5418000000000001</v>
      </c>
    </row>
    <row r="107" spans="1:14">
      <c r="A107" s="3742"/>
      <c r="B107" s="3483">
        <v>2</v>
      </c>
      <c r="C107" s="3483">
        <v>1.2072000000000001</v>
      </c>
      <c r="D107" s="3483">
        <v>1.2072000000000001</v>
      </c>
      <c r="E107" s="3483">
        <v>1.1838</v>
      </c>
      <c r="F107" s="3483">
        <v>1.1838</v>
      </c>
      <c r="G107" s="3483">
        <v>1.1838</v>
      </c>
      <c r="H107" s="3483">
        <v>1.1838</v>
      </c>
      <c r="I107" s="3483">
        <v>1.1838</v>
      </c>
      <c r="J107" s="3483">
        <v>1.1883999999999999</v>
      </c>
      <c r="K107" s="3483">
        <v>1.1883999999999999</v>
      </c>
      <c r="L107" s="3483">
        <v>1.1883999999999999</v>
      </c>
      <c r="M107" s="3483">
        <v>1.1883999999999999</v>
      </c>
      <c r="N107" s="3483">
        <v>1.1883999999999999</v>
      </c>
    </row>
    <row r="108" spans="1:14">
      <c r="A108" s="3742"/>
      <c r="B108" s="3483">
        <v>3</v>
      </c>
      <c r="C108" s="3483">
        <v>1.0430999999999999</v>
      </c>
      <c r="D108" s="3483">
        <v>1.0430999999999999</v>
      </c>
      <c r="E108" s="3483">
        <v>1.0004999999999999</v>
      </c>
      <c r="F108" s="3483">
        <v>1.0004999999999999</v>
      </c>
      <c r="G108" s="3483">
        <v>1.0004999999999999</v>
      </c>
      <c r="H108" s="3483">
        <v>1.0004999999999999</v>
      </c>
      <c r="I108" s="3483">
        <v>1.0004999999999999</v>
      </c>
      <c r="J108" s="3483">
        <v>0.96940000000000004</v>
      </c>
      <c r="K108" s="3483">
        <v>0.96940000000000004</v>
      </c>
      <c r="L108" s="3483">
        <v>0.96940000000000004</v>
      </c>
      <c r="M108" s="3483">
        <v>0.96940000000000004</v>
      </c>
      <c r="N108" s="3483">
        <v>0.96940000000000004</v>
      </c>
    </row>
    <row r="109" spans="1:14">
      <c r="A109" s="3742"/>
      <c r="B109" s="3483">
        <v>4</v>
      </c>
      <c r="C109" s="3483">
        <v>0.94389999999999996</v>
      </c>
      <c r="D109" s="3483">
        <v>0.94389999999999996</v>
      </c>
      <c r="E109" s="3483">
        <v>0.88239999999999996</v>
      </c>
      <c r="F109" s="3483">
        <v>0.88239999999999996</v>
      </c>
      <c r="G109" s="3483">
        <v>0.88239999999999996</v>
      </c>
      <c r="H109" s="3483">
        <v>0.88239999999999996</v>
      </c>
      <c r="I109" s="3483">
        <v>0.88239999999999996</v>
      </c>
      <c r="J109" s="3483">
        <v>0.82299999999999995</v>
      </c>
      <c r="K109" s="3483">
        <v>0.82299999999999995</v>
      </c>
      <c r="L109" s="3483">
        <v>0.82299999999999995</v>
      </c>
      <c r="M109" s="3483">
        <v>0.82299999999999995</v>
      </c>
      <c r="N109" s="3483">
        <v>0.82299999999999995</v>
      </c>
    </row>
    <row r="110" spans="1:14">
      <c r="A110" s="3742"/>
      <c r="B110" s="3483">
        <v>5</v>
      </c>
      <c r="C110" s="3483">
        <v>0.89959999999999996</v>
      </c>
      <c r="D110" s="3483">
        <v>0.89959999999999996</v>
      </c>
      <c r="E110" s="3483">
        <v>0.84799999999999998</v>
      </c>
      <c r="F110" s="3483">
        <v>0.84799999999999998</v>
      </c>
      <c r="G110" s="3483">
        <v>0.84799999999999998</v>
      </c>
      <c r="H110" s="3483">
        <v>0.84799999999999998</v>
      </c>
      <c r="I110" s="3483">
        <v>0.84799999999999998</v>
      </c>
      <c r="J110" s="3483">
        <v>0.74980000000000002</v>
      </c>
      <c r="K110" s="3483">
        <v>0.74980000000000002</v>
      </c>
      <c r="L110" s="3483">
        <v>0.74980000000000002</v>
      </c>
      <c r="M110" s="3483">
        <v>0.74980000000000002</v>
      </c>
      <c r="N110" s="3483">
        <v>0.74980000000000002</v>
      </c>
    </row>
    <row r="111" spans="1:14">
      <c r="A111" s="3742"/>
      <c r="B111" s="3483" t="s">
        <v>3261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483">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3304</v>
      </c>
      <c r="B113" s="3744"/>
      <c r="C113" s="3744"/>
      <c r="D113" s="3744"/>
      <c r="E113" s="3744"/>
      <c r="F113" s="3744"/>
      <c r="G113" s="3744"/>
      <c r="H113" s="3744"/>
      <c r="I113" s="3744"/>
      <c r="J113" s="3744"/>
      <c r="K113" s="3480"/>
      <c r="L113" s="3480"/>
      <c r="M113" s="3480"/>
      <c r="N113" s="3480"/>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3305</v>
      </c>
      <c r="B116" s="3416">
        <f>G3</f>
        <v>4.7</v>
      </c>
      <c r="C116" s="3400" t="s">
        <v>3306</v>
      </c>
      <c r="D116" s="3401">
        <f>SUMPRODUCT((A118:A122=F116)*(B117:M117=H116)*B118:M122)</f>
        <v>0.94040000000000001</v>
      </c>
      <c r="E116" s="2000" t="s">
        <v>3307</v>
      </c>
      <c r="F116" s="3402" t="str">
        <f>E2</f>
        <v>办公</v>
      </c>
      <c r="G116" s="2000" t="s">
        <v>3308</v>
      </c>
      <c r="H116" s="3402" t="str">
        <f>G2</f>
        <v>二级</v>
      </c>
      <c r="I116" s="2000"/>
      <c r="J116" s="3403"/>
      <c r="K116" s="3403"/>
      <c r="L116" s="3403"/>
      <c r="M116" s="3403"/>
      <c r="N116" s="3398"/>
    </row>
    <row r="117" spans="1:14">
      <c r="A117" s="3404"/>
      <c r="B117" s="3405" t="s">
        <v>3309</v>
      </c>
      <c r="C117" s="3405" t="s">
        <v>3310</v>
      </c>
      <c r="D117" s="3405" t="s">
        <v>3311</v>
      </c>
      <c r="E117" s="3406" t="s">
        <v>3312</v>
      </c>
      <c r="F117" s="3406" t="s">
        <v>3313</v>
      </c>
      <c r="G117" s="3406" t="s">
        <v>3314</v>
      </c>
      <c r="H117" s="3407" t="s">
        <v>3315</v>
      </c>
      <c r="I117" s="3407" t="s">
        <v>3316</v>
      </c>
      <c r="J117" s="3408" t="s">
        <v>3317</v>
      </c>
      <c r="K117" s="3408" t="s">
        <v>3318</v>
      </c>
      <c r="L117" s="3408" t="s">
        <v>3319</v>
      </c>
      <c r="M117" s="3409" t="s">
        <v>3320</v>
      </c>
      <c r="N117" s="3398"/>
    </row>
    <row r="118" spans="1:14">
      <c r="A118" s="3410" t="s">
        <v>1988</v>
      </c>
      <c r="B118" s="3388">
        <f>ROUND(0.9968-0.011*B116,4)</f>
        <v>0.94510000000000005</v>
      </c>
      <c r="C118" s="3388">
        <f>B118</f>
        <v>0.94510000000000005</v>
      </c>
      <c r="D118" s="3388">
        <f>ROUND(0.949-0.014*B116,4)</f>
        <v>0.88319999999999999</v>
      </c>
      <c r="E118" s="3388">
        <f>D118</f>
        <v>0.88319999999999999</v>
      </c>
      <c r="F118" s="3388">
        <f>E118</f>
        <v>0.88319999999999999</v>
      </c>
      <c r="G118" s="3388">
        <f>F118</f>
        <v>0.88319999999999999</v>
      </c>
      <c r="H118" s="3388">
        <f>G118</f>
        <v>0.88319999999999999</v>
      </c>
      <c r="I118" s="3388">
        <f>ROUND(0.8486-0.018*B116,4)</f>
        <v>0.76400000000000001</v>
      </c>
      <c r="J118" s="3388">
        <f t="shared" ref="J118:M122" si="36">I118</f>
        <v>0.76400000000000001</v>
      </c>
      <c r="K118" s="3388">
        <f t="shared" si="36"/>
        <v>0.76400000000000001</v>
      </c>
      <c r="L118" s="3388">
        <f t="shared" si="36"/>
        <v>0.76400000000000001</v>
      </c>
      <c r="M118" s="3411">
        <f t="shared" si="36"/>
        <v>0.76400000000000001</v>
      </c>
      <c r="N118" s="3398"/>
    </row>
    <row r="119" spans="1:14">
      <c r="A119" s="3410" t="s">
        <v>1989</v>
      </c>
      <c r="B119" s="3388">
        <f>ROUND(0.993-0.0112*B116,4)</f>
        <v>0.94040000000000001</v>
      </c>
      <c r="C119" s="3388">
        <f>B119</f>
        <v>0.94040000000000001</v>
      </c>
      <c r="D119" s="3388">
        <f>ROUND(0.9415-0.0142*B116,4)</f>
        <v>0.87480000000000002</v>
      </c>
      <c r="E119" s="3388">
        <f t="shared" ref="E119:H120" si="37">D119</f>
        <v>0.87480000000000002</v>
      </c>
      <c r="F119" s="3388">
        <f t="shared" si="37"/>
        <v>0.87480000000000002</v>
      </c>
      <c r="G119" s="3388">
        <f t="shared" si="37"/>
        <v>0.87480000000000002</v>
      </c>
      <c r="H119" s="3388">
        <f t="shared" si="37"/>
        <v>0.87480000000000002</v>
      </c>
      <c r="I119" s="3388">
        <f>ROUND(0.838-0.0182*B116,4)</f>
        <v>0.75249999999999995</v>
      </c>
      <c r="J119" s="3388">
        <f t="shared" si="36"/>
        <v>0.75249999999999995</v>
      </c>
      <c r="K119" s="3388">
        <f t="shared" si="36"/>
        <v>0.75249999999999995</v>
      </c>
      <c r="L119" s="3388">
        <f t="shared" si="36"/>
        <v>0.75249999999999995</v>
      </c>
      <c r="M119" s="3411">
        <f t="shared" si="36"/>
        <v>0.75249999999999995</v>
      </c>
      <c r="N119" s="3398"/>
    </row>
    <row r="120" spans="1:14">
      <c r="A120" s="3410" t="s">
        <v>1990</v>
      </c>
      <c r="B120" s="3388">
        <f>ROUND(0.9448-0.0115*B116,4)</f>
        <v>0.89080000000000004</v>
      </c>
      <c r="C120" s="3388">
        <f>B120</f>
        <v>0.89080000000000004</v>
      </c>
      <c r="D120" s="3388">
        <f>ROUND(0.937-0.0145*B116,4)</f>
        <v>0.86890000000000001</v>
      </c>
      <c r="E120" s="3388">
        <f t="shared" si="37"/>
        <v>0.86890000000000001</v>
      </c>
      <c r="F120" s="3388">
        <f t="shared" si="37"/>
        <v>0.86890000000000001</v>
      </c>
      <c r="G120" s="3388">
        <f t="shared" si="37"/>
        <v>0.86890000000000001</v>
      </c>
      <c r="H120" s="3388">
        <f t="shared" si="37"/>
        <v>0.86890000000000001</v>
      </c>
      <c r="I120" s="3388">
        <f>ROUND(0.7965-0.0185*B116,4)</f>
        <v>0.70960000000000001</v>
      </c>
      <c r="J120" s="3388">
        <f t="shared" si="36"/>
        <v>0.70960000000000001</v>
      </c>
      <c r="K120" s="3388">
        <f t="shared" si="36"/>
        <v>0.70960000000000001</v>
      </c>
      <c r="L120" s="3388">
        <f t="shared" si="36"/>
        <v>0.70960000000000001</v>
      </c>
      <c r="M120" s="3411">
        <f t="shared" si="36"/>
        <v>0.70960000000000001</v>
      </c>
      <c r="N120" s="3398"/>
    </row>
    <row r="121" spans="1:14" ht="13.5" thickBot="1">
      <c r="A121" s="3412" t="s">
        <v>1991</v>
      </c>
      <c r="B121" s="3413">
        <f>ROUND(0.7836-0.012*B116,4)</f>
        <v>0.72719999999999996</v>
      </c>
      <c r="C121" s="3413">
        <f>B121</f>
        <v>0.72719999999999996</v>
      </c>
      <c r="D121" s="3413">
        <f>ROUND(0.753-0.015*B116,4)</f>
        <v>0.6825</v>
      </c>
      <c r="E121" s="3413">
        <f>D121</f>
        <v>0.6825</v>
      </c>
      <c r="F121" s="3413">
        <f>E121</f>
        <v>0.6825</v>
      </c>
      <c r="G121" s="3413">
        <f>ROUND(0.6612-0.018*B116,4)</f>
        <v>0.5766</v>
      </c>
      <c r="H121" s="3413">
        <f>G121</f>
        <v>0.5766</v>
      </c>
      <c r="I121" s="3413">
        <f>ROUND(0.5905-0.019*B116,4)</f>
        <v>0.50119999999999998</v>
      </c>
      <c r="J121" s="3413">
        <f t="shared" si="36"/>
        <v>0.50119999999999998</v>
      </c>
      <c r="K121" s="3413">
        <f t="shared" si="36"/>
        <v>0.50119999999999998</v>
      </c>
      <c r="L121" s="3413">
        <f t="shared" si="36"/>
        <v>0.50119999999999998</v>
      </c>
      <c r="M121" s="3414">
        <f t="shared" si="36"/>
        <v>0.50119999999999998</v>
      </c>
      <c r="N121" s="3398"/>
    </row>
    <row r="122" spans="1:14">
      <c r="A122" s="3415" t="s">
        <v>2605</v>
      </c>
      <c r="B122" s="3388">
        <f>ROUND(0.9404-0.0106*B116,4)</f>
        <v>0.89059999999999995</v>
      </c>
      <c r="C122" s="3388">
        <f>B122</f>
        <v>0.89059999999999995</v>
      </c>
      <c r="D122" s="3388">
        <f>ROUND(0.8955-0.0135*B116,4)</f>
        <v>0.83209999999999995</v>
      </c>
      <c r="E122" s="3388">
        <f t="shared" ref="E122:H122" si="38">D122</f>
        <v>0.83209999999999995</v>
      </c>
      <c r="F122" s="3388">
        <f t="shared" si="38"/>
        <v>0.83209999999999995</v>
      </c>
      <c r="G122" s="3388">
        <f t="shared" si="38"/>
        <v>0.83209999999999995</v>
      </c>
      <c r="H122" s="3388">
        <f t="shared" si="38"/>
        <v>0.83209999999999995</v>
      </c>
      <c r="I122" s="3388">
        <f>ROUND(0.7632-0.0166*B116,4)</f>
        <v>0.68520000000000003</v>
      </c>
      <c r="J122" s="3388">
        <f t="shared" si="36"/>
        <v>0.68520000000000003</v>
      </c>
      <c r="K122" s="3388">
        <f t="shared" si="36"/>
        <v>0.68520000000000003</v>
      </c>
      <c r="L122" s="3388">
        <f t="shared" si="36"/>
        <v>0.68520000000000003</v>
      </c>
      <c r="M122" s="3411">
        <f t="shared" si="36"/>
        <v>0.68520000000000003</v>
      </c>
      <c r="N122" s="3398"/>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workbookViewId="0">
      <selection activeCell="E79" sqref="E7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503" t="str">
        <f>IF(项目基本情况!B9="房地产市场价值","估价结果一览表","结果表-2")</f>
        <v>结果表-2</v>
      </c>
      <c r="B1" s="3503"/>
      <c r="C1" s="3503"/>
      <c r="D1" s="3503"/>
      <c r="E1" s="3503"/>
      <c r="F1" s="3503"/>
      <c r="G1" s="3503"/>
      <c r="H1" s="3503"/>
      <c r="I1" s="3503"/>
    </row>
    <row r="2" spans="1:9" ht="30" customHeight="1" thickTop="1">
      <c r="A2" s="3504" t="s">
        <v>926</v>
      </c>
      <c r="B2" s="3504" t="s">
        <v>927</v>
      </c>
      <c r="C2" s="3504" t="s">
        <v>928</v>
      </c>
      <c r="D2" s="3504" t="str">
        <f>'结果表-商业'!D116</f>
        <v>出让国有建设用地使用权价值</v>
      </c>
      <c r="E2" s="3504"/>
      <c r="F2" s="3504" t="str">
        <f>'结果表-商业'!F116</f>
        <v>在建建筑物价值</v>
      </c>
      <c r="G2" s="3504"/>
      <c r="H2" s="3504" t="str">
        <f>IF(项目基本情况!B9="房地产市场价值","房地产市场价值","房地产价值")</f>
        <v>房地产价值</v>
      </c>
      <c r="I2" s="3504"/>
    </row>
    <row r="3" spans="1:9" ht="15">
      <c r="A3" s="3499"/>
      <c r="B3" s="3499"/>
      <c r="C3" s="3499"/>
      <c r="D3" s="854" t="s">
        <v>923</v>
      </c>
      <c r="E3" s="854" t="s">
        <v>929</v>
      </c>
      <c r="F3" s="854" t="s">
        <v>923</v>
      </c>
      <c r="G3" s="854" t="s">
        <v>924</v>
      </c>
      <c r="H3" s="854" t="s">
        <v>923</v>
      </c>
      <c r="I3" s="854" t="s">
        <v>924</v>
      </c>
    </row>
    <row r="4" spans="1:9" ht="15">
      <c r="A4" s="1505" t="str">
        <f>项目基本情况!S2</f>
        <v>北京市房地产</v>
      </c>
      <c r="B4" s="854">
        <f>项目基本情况!C17</f>
        <v>778.02</v>
      </c>
      <c r="C4" s="854">
        <f>项目基本情况!C18</f>
        <v>0</v>
      </c>
      <c r="D4" s="854" t="e">
        <f ca="1">'结果表-商业'!D118</f>
        <v>#REF!</v>
      </c>
      <c r="E4" s="854" t="e">
        <f ca="1">'结果表-商业'!E118</f>
        <v>#REF!</v>
      </c>
      <c r="F4" s="854" t="e">
        <f ca="1">'结果表-商业'!F118</f>
        <v>#REF!</v>
      </c>
      <c r="G4" s="854" t="e">
        <f ca="1">'结果表-商业'!G118</f>
        <v>#REF!</v>
      </c>
      <c r="H4" s="854" t="e">
        <f ca="1">'结果表-商业'!H118</f>
        <v>#REF!</v>
      </c>
      <c r="I4" s="854" t="e">
        <f ca="1">'结果表-商业'!I118</f>
        <v>#REF!</v>
      </c>
    </row>
    <row r="5" spans="1:9" ht="30" customHeight="1">
      <c r="A5" s="3499" t="s">
        <v>925</v>
      </c>
      <c r="B5" s="3499"/>
      <c r="C5" s="3499"/>
      <c r="D5" s="3499" t="e">
        <f ca="1">'结果表-商业'!D119</f>
        <v>#REF!</v>
      </c>
      <c r="E5" s="3499"/>
      <c r="F5" s="3499" t="e">
        <f ca="1">'结果表-商业'!F119</f>
        <v>#REF!</v>
      </c>
      <c r="G5" s="3499"/>
      <c r="H5" s="3499" t="e">
        <f ca="1">'结果表-商业'!H119</f>
        <v>#REF!</v>
      </c>
      <c r="I5" s="3499"/>
    </row>
    <row r="6" spans="1:9" ht="15.75">
      <c r="A6" s="3498" t="str">
        <f>'结果表-商业'!A120</f>
        <v>估价师知悉的法定优先受偿款</v>
      </c>
      <c r="B6" s="3498"/>
      <c r="C6" s="3498"/>
      <c r="D6" s="3498">
        <f>'结果表-商业'!D120</f>
        <v>0</v>
      </c>
      <c r="E6" s="3498"/>
      <c r="F6" s="3498"/>
      <c r="G6" s="3498"/>
      <c r="H6" s="3498"/>
      <c r="I6" s="3498"/>
    </row>
    <row r="7" spans="1:9" ht="15">
      <c r="A7" s="3499" t="s">
        <v>925</v>
      </c>
      <c r="B7" s="3499"/>
      <c r="C7" s="3499"/>
      <c r="D7" s="3500" t="str">
        <f>'结果表-商业'!D121</f>
        <v>零元整</v>
      </c>
      <c r="E7" s="3501"/>
      <c r="F7" s="3501"/>
      <c r="G7" s="3501"/>
      <c r="H7" s="3501"/>
      <c r="I7" s="3502"/>
    </row>
    <row r="8" spans="1:9" ht="15.75">
      <c r="A8" s="3498" t="str">
        <f>'结果表-商业'!A122</f>
        <v>房地产抵押价值</v>
      </c>
      <c r="B8" s="3498"/>
      <c r="C8" s="3498"/>
      <c r="D8" s="3498" t="e">
        <f ca="1">'结果表-商业'!D122</f>
        <v>#REF!</v>
      </c>
      <c r="E8" s="3498"/>
      <c r="F8" s="3498"/>
      <c r="G8" s="3498"/>
      <c r="H8" s="3498"/>
      <c r="I8" s="3498"/>
    </row>
    <row r="9" spans="1:9" ht="15">
      <c r="A9" s="3499" t="s">
        <v>925</v>
      </c>
      <c r="B9" s="3499"/>
      <c r="C9" s="3499"/>
      <c r="D9" s="3499" t="e">
        <f ca="1">'结果表-商业'!D123</f>
        <v>#REF!</v>
      </c>
      <c r="E9" s="3499"/>
      <c r="F9" s="3499"/>
      <c r="G9" s="3499"/>
      <c r="H9" s="3499"/>
      <c r="I9" s="3499"/>
    </row>
    <row r="10" spans="1:9" ht="15.75">
      <c r="A10" s="3498" t="str">
        <f>'结果表-商业'!A124</f>
        <v/>
      </c>
      <c r="B10" s="3498"/>
      <c r="C10" s="3498"/>
      <c r="D10" s="3498" t="str">
        <f>'结果表-商业'!D124</f>
        <v>——</v>
      </c>
      <c r="E10" s="3498"/>
      <c r="F10" s="3498"/>
      <c r="G10" s="3498"/>
      <c r="H10" s="3498"/>
      <c r="I10" s="3498"/>
    </row>
    <row r="11" spans="1:9" ht="15">
      <c r="A11" s="3499" t="s">
        <v>925</v>
      </c>
      <c r="B11" s="3499"/>
      <c r="C11" s="3499"/>
      <c r="D11" s="3499" t="e">
        <f>'结果表-商业'!D125</f>
        <v>#VALUE!</v>
      </c>
      <c r="E11" s="3499"/>
      <c r="F11" s="3499"/>
      <c r="G11" s="3499"/>
      <c r="H11" s="3499"/>
      <c r="I11" s="3499"/>
    </row>
    <row r="12" spans="1:9" ht="15.75">
      <c r="A12" s="3498" t="str">
        <f>'结果表-商业'!A126</f>
        <v/>
      </c>
      <c r="B12" s="3498"/>
      <c r="C12" s="3498"/>
      <c r="D12" s="3498" t="str">
        <f>'结果表-商业'!D126</f>
        <v>——</v>
      </c>
      <c r="E12" s="3498"/>
      <c r="F12" s="3498"/>
      <c r="G12" s="3498"/>
      <c r="H12" s="3498"/>
      <c r="I12" s="3498"/>
    </row>
    <row r="13" spans="1:9" ht="15.75" thickBot="1">
      <c r="A13" s="3496" t="s">
        <v>925</v>
      </c>
      <c r="B13" s="3496"/>
      <c r="C13" s="3496"/>
      <c r="D13" s="3496" t="e">
        <f>'结果表-商业'!D127</f>
        <v>#VALUE!</v>
      </c>
      <c r="E13" s="3496"/>
      <c r="F13" s="3496"/>
      <c r="G13" s="3496"/>
      <c r="H13" s="3496"/>
      <c r="I13" s="3496"/>
    </row>
    <row r="14" spans="1:9" ht="15" thickTop="1">
      <c r="A14" s="3497" t="s">
        <v>930</v>
      </c>
      <c r="B14" s="3497"/>
      <c r="C14" s="3497"/>
      <c r="D14" s="3497"/>
      <c r="E14" s="3497"/>
      <c r="F14" s="3497"/>
      <c r="G14" s="3497"/>
      <c r="H14" s="3497"/>
      <c r="I14" s="3497"/>
    </row>
    <row r="16" spans="1:9" ht="18.75">
      <c r="A16" s="1506" t="s">
        <v>913</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11" t="s">
        <v>947</v>
      </c>
      <c r="B1" s="3511"/>
      <c r="C1" s="3511"/>
      <c r="D1" s="3511"/>
    </row>
    <row r="2" spans="1:4" ht="18">
      <c r="A2" s="3512" t="s">
        <v>931</v>
      </c>
      <c r="B2" s="3512"/>
      <c r="C2" s="3512"/>
      <c r="D2" s="3512"/>
    </row>
    <row r="3" spans="1:4" ht="18.75">
      <c r="A3" s="1509" t="s">
        <v>932</v>
      </c>
      <c r="B3" s="1509" t="s">
        <v>933</v>
      </c>
      <c r="C3" s="1509" t="s">
        <v>934</v>
      </c>
      <c r="D3" s="1509" t="s">
        <v>935</v>
      </c>
    </row>
    <row r="4" spans="1:4" ht="56.25" customHeight="1">
      <c r="A4" s="1510">
        <f>项目基本情况!B4</f>
        <v>0</v>
      </c>
      <c r="B4" s="1511">
        <f>项目基本情况!C4</f>
        <v>0</v>
      </c>
      <c r="C4" s="1512"/>
      <c r="D4" s="1513" t="s">
        <v>936</v>
      </c>
    </row>
    <row r="5" spans="1:4" ht="56.25" customHeight="1">
      <c r="A5" s="1510">
        <f>项目基本情况!D4</f>
        <v>0</v>
      </c>
      <c r="B5" s="1511">
        <f>项目基本情况!E4</f>
        <v>0</v>
      </c>
      <c r="C5" s="1514"/>
      <c r="D5" s="1513" t="s">
        <v>936</v>
      </c>
    </row>
    <row r="6" spans="1:4" ht="18">
      <c r="A6" s="3512" t="s">
        <v>937</v>
      </c>
      <c r="B6" s="3512"/>
      <c r="C6" s="3512"/>
      <c r="D6" s="3512"/>
    </row>
    <row r="7" spans="1:4" ht="18.75">
      <c r="A7" s="1509" t="s">
        <v>932</v>
      </c>
      <c r="B7" s="1511" t="s">
        <v>938</v>
      </c>
      <c r="C7" s="1509" t="s">
        <v>934</v>
      </c>
      <c r="D7" s="1509" t="s">
        <v>935</v>
      </c>
    </row>
    <row r="8" spans="1:4" ht="56.25" customHeight="1">
      <c r="A8" s="1515" t="s">
        <v>390</v>
      </c>
      <c r="B8" s="1515" t="s">
        <v>0</v>
      </c>
      <c r="C8" s="1512"/>
      <c r="D8" s="1513" t="s">
        <v>936</v>
      </c>
    </row>
    <row r="9" spans="1:4">
      <c r="A9" s="675"/>
      <c r="B9" s="675"/>
      <c r="C9" s="675"/>
      <c r="D9" s="675"/>
    </row>
    <row r="10" spans="1:4" ht="18.75">
      <c r="A10" s="1516" t="s">
        <v>939</v>
      </c>
      <c r="B10" s="675"/>
      <c r="C10" s="675"/>
      <c r="D10" s="675"/>
    </row>
    <row r="11" spans="1:4" ht="30" customHeight="1">
      <c r="A11" s="3513" t="s">
        <v>940</v>
      </c>
      <c r="B11" s="3505"/>
      <c r="C11" s="3505"/>
      <c r="D11" s="3505"/>
    </row>
    <row r="12" spans="1:4" ht="15.75">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10"/>
      <c r="C12" s="3510"/>
      <c r="D12" s="3510"/>
    </row>
    <row r="13" spans="1:4" ht="30" customHeight="1">
      <c r="A13" s="3505" t="str">
        <f>IF(项目基本情况!B8="抵押","3.抵押双方在办理抵押登记手续时，应使用本公司出具的正式《房地产评估报告》，特提醒报告使用者注意。","——")</f>
        <v>——</v>
      </c>
      <c r="B13" s="3510"/>
      <c r="C13" s="3510"/>
      <c r="D13" s="3510"/>
    </row>
    <row r="14" spans="1:4" ht="15.75" customHeight="1">
      <c r="A14" s="3505" t="str">
        <f>IF(项目基本情况!B8="抵押","4.本次评估估价师所知悉的法定优先受偿款情况说明如下：","——")</f>
        <v>——</v>
      </c>
      <c r="B14" s="3510"/>
      <c r="C14" s="3510"/>
      <c r="D14" s="3510"/>
    </row>
    <row r="15" spans="1:4" ht="42" customHeight="1">
      <c r="A15" s="3505" t="str">
        <f>IF(项目基本情况!B8="抵押","（1）"&amp;CONCATENATE(项目基本情况!L20,项目基本情况!L21,项目基本情况!L22),"——")</f>
        <v>——</v>
      </c>
      <c r="B15" s="3505"/>
      <c r="C15" s="3505"/>
      <c r="D15" s="3505"/>
    </row>
    <row r="16" spans="1:4" ht="30" customHeight="1">
      <c r="A16" s="3507" t="s">
        <v>941</v>
      </c>
      <c r="B16" s="3507"/>
      <c r="C16" s="3507"/>
      <c r="D16" s="3507"/>
    </row>
    <row r="17" spans="1:4" ht="144" customHeight="1">
      <c r="A17" s="3507" t="s">
        <v>942</v>
      </c>
      <c r="B17" s="3507"/>
      <c r="C17" s="3507"/>
      <c r="D17" s="3507"/>
    </row>
    <row r="18" spans="1:4" ht="15.75" customHeight="1">
      <c r="A18" s="3505" t="str">
        <f>IF(项目基本情况!B8="抵押",'结果表-商业'!K120,"——")</f>
        <v>——</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8"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8"/>
      <c r="C21" s="3508"/>
      <c r="D21" s="3508"/>
    </row>
    <row r="22" spans="1:4" ht="18.75" customHeight="1">
      <c r="A22" s="3509" t="s">
        <v>943</v>
      </c>
      <c r="B22" s="3509"/>
      <c r="C22" s="3509"/>
      <c r="D22" s="3509"/>
    </row>
    <row r="23" spans="1:4">
      <c r="A23" s="1517"/>
      <c r="B23" s="1489"/>
      <c r="C23" s="1489"/>
      <c r="D23" s="1489"/>
    </row>
    <row r="24" spans="1:4">
      <c r="A24" s="1517"/>
      <c r="B24" s="1489"/>
      <c r="C24" s="1489"/>
      <c r="D24" s="1489"/>
    </row>
    <row r="25" spans="1:4" ht="18.75">
      <c r="A25" s="1518" t="s">
        <v>944</v>
      </c>
    </row>
    <row r="26" spans="1:4" ht="18">
      <c r="A26" s="1487"/>
    </row>
    <row r="27" spans="1:4" ht="18.75">
      <c r="A27" s="1487" t="s">
        <v>945</v>
      </c>
    </row>
    <row r="30" spans="1:4" ht="18.75">
      <c r="D30" s="1518" t="s">
        <v>946</v>
      </c>
    </row>
    <row r="31" spans="1:4" ht="13.5" customHeight="1">
      <c r="C31" s="3506">
        <v>42551</v>
      </c>
      <c r="D31" s="35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948</v>
      </c>
    </row>
    <row r="3" spans="1:7">
      <c r="A3" s="1523" t="s">
        <v>55</v>
      </c>
      <c r="B3" s="1507" t="s">
        <v>949</v>
      </c>
      <c r="G3" s="1524"/>
    </row>
    <row r="4" spans="1:7">
      <c r="G4" s="1524"/>
    </row>
    <row r="5" spans="1:7">
      <c r="A5" s="1526" t="s">
        <v>46</v>
      </c>
      <c r="B5" s="1507" t="s">
        <v>950</v>
      </c>
      <c r="G5" s="1524"/>
    </row>
    <row r="6" spans="1:7">
      <c r="G6" s="1524"/>
    </row>
    <row r="7" spans="1:7">
      <c r="A7" s="1527" t="s">
        <v>108</v>
      </c>
      <c r="B7" s="1507" t="s">
        <v>951</v>
      </c>
      <c r="G7" s="1524"/>
    </row>
    <row r="8" spans="1:7">
      <c r="G8" s="1524"/>
    </row>
    <row r="9" spans="1:7">
      <c r="A9" s="1528" t="s">
        <v>47</v>
      </c>
      <c r="B9" s="1507" t="s">
        <v>952</v>
      </c>
    </row>
    <row r="11" spans="1:7">
      <c r="A11" s="1529" t="s">
        <v>48</v>
      </c>
      <c r="B11" s="1530" t="s">
        <v>45</v>
      </c>
    </row>
    <row r="13" spans="1:7">
      <c r="A13" s="1531" t="s">
        <v>953</v>
      </c>
    </row>
    <row r="15" spans="1:7" ht="13.5">
      <c r="A15" s="3519" t="s">
        <v>954</v>
      </c>
      <c r="B15" s="3514" t="s">
        <v>109</v>
      </c>
      <c r="C15" s="3515"/>
    </row>
    <row r="16" spans="1:7" ht="13.5">
      <c r="A16" s="3520"/>
      <c r="B16" s="3514" t="s">
        <v>42</v>
      </c>
      <c r="C16" s="3515"/>
    </row>
    <row r="17" spans="1:3" ht="13.5">
      <c r="A17" s="3520"/>
      <c r="B17" s="3517" t="s">
        <v>955</v>
      </c>
      <c r="C17" s="1532" t="s">
        <v>954</v>
      </c>
    </row>
    <row r="18" spans="1:3" ht="13.5">
      <c r="A18" s="3520"/>
      <c r="B18" s="3517"/>
      <c r="C18" s="1532" t="s">
        <v>956</v>
      </c>
    </row>
    <row r="19" spans="1:3" ht="13.5">
      <c r="A19" s="3520"/>
      <c r="B19" s="3517"/>
      <c r="C19" s="1532" t="s">
        <v>957</v>
      </c>
    </row>
    <row r="20" spans="1:3" ht="13.5">
      <c r="A20" s="3521"/>
      <c r="B20" s="3516" t="s">
        <v>958</v>
      </c>
      <c r="C20" s="3515"/>
    </row>
    <row r="21" spans="1:3" ht="13.5">
      <c r="A21" s="1533" t="s">
        <v>959</v>
      </c>
      <c r="B21" s="1534"/>
      <c r="C21" s="1535"/>
    </row>
    <row r="22" spans="1:3" ht="13.5">
      <c r="A22" s="3518" t="s">
        <v>960</v>
      </c>
      <c r="B22" s="3516" t="s">
        <v>961</v>
      </c>
      <c r="C22" s="3515"/>
    </row>
    <row r="23" spans="1:3" ht="13.5">
      <c r="A23" s="3518"/>
      <c r="B23" s="3516" t="s">
        <v>962</v>
      </c>
      <c r="C23" s="3515"/>
    </row>
    <row r="24" spans="1:3" ht="13.5">
      <c r="A24" s="3518"/>
      <c r="B24" s="3516" t="s">
        <v>963</v>
      </c>
      <c r="C24" s="3515"/>
    </row>
    <row r="25" spans="1:3" ht="13.5">
      <c r="A25" s="3518"/>
      <c r="B25" s="3517" t="s">
        <v>964</v>
      </c>
      <c r="C25" s="1532" t="s">
        <v>965</v>
      </c>
    </row>
    <row r="26" spans="1:3" ht="13.5">
      <c r="A26" s="3518"/>
      <c r="B26" s="3517"/>
      <c r="C26" s="1532" t="s">
        <v>966</v>
      </c>
    </row>
    <row r="27" spans="1:3" ht="13.5">
      <c r="A27" s="3518"/>
      <c r="B27" s="3517"/>
      <c r="C27" s="1532" t="s">
        <v>967</v>
      </c>
    </row>
    <row r="28" spans="1:3" ht="13.5">
      <c r="A28" s="3518"/>
      <c r="B28" s="3517"/>
      <c r="C28" s="1532" t="s">
        <v>968</v>
      </c>
    </row>
    <row r="29" spans="1:3" ht="13.5">
      <c r="A29" s="3518"/>
      <c r="B29" s="3517"/>
      <c r="C29" s="1532" t="s">
        <v>969</v>
      </c>
    </row>
    <row r="30" spans="1:3" ht="13.5">
      <c r="A30" s="3518"/>
      <c r="B30" s="3517"/>
      <c r="C30" s="1532" t="s">
        <v>970</v>
      </c>
    </row>
    <row r="31" spans="1:3" ht="13.5">
      <c r="A31" s="3518"/>
      <c r="B31" s="3517"/>
      <c r="C31" s="1532" t="s">
        <v>971</v>
      </c>
    </row>
    <row r="32" spans="1:3" ht="13.5">
      <c r="A32" s="3518"/>
      <c r="B32" s="3517"/>
      <c r="C32" s="1532" t="s">
        <v>972</v>
      </c>
    </row>
    <row r="33" spans="1:3" ht="13.5">
      <c r="A33" s="3518"/>
      <c r="B33" s="3517"/>
      <c r="C33" s="1532" t="s">
        <v>973</v>
      </c>
    </row>
    <row r="34" spans="1:3">
      <c r="A34" s="1536" t="s">
        <v>49</v>
      </c>
    </row>
    <row r="37" spans="1:3">
      <c r="A37" s="1536" t="s">
        <v>974</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2137</v>
      </c>
      <c r="B2" s="2339">
        <f ca="1">TODAY()</f>
        <v>45488</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t="str">
        <f ca="1">IF(C6&lt;B2,"已过期",1120050019)</f>
        <v>已过期</v>
      </c>
      <c r="C6" s="2345">
        <v>45410</v>
      </c>
      <c r="D6" s="2346" t="str">
        <f t="shared" ca="1" si="0"/>
        <v>王鹏（注册号：已过期）</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t="str">
        <f ca="1">IF(C13&lt;B2,"已过期",1120020033)</f>
        <v>已过期</v>
      </c>
      <c r="C13" s="2345">
        <v>45375</v>
      </c>
      <c r="D13" s="2346" t="str">
        <f t="shared" ca="1" si="0"/>
        <v>刘敬东（注册号：已过期）</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2430</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2" priority="53">
      <formula>AND($C4-TODAY()&lt;30,TODAY()&lt;$C4)</formula>
    </cfRule>
  </conditionalFormatting>
  <conditionalFormatting sqref="C20:D20">
    <cfRule type="expression" dxfId="251" priority="52">
      <formula>AND($C20-TODAY()&lt;30,TODAY()&lt;$C20)</formula>
    </cfRule>
  </conditionalFormatting>
  <conditionalFormatting sqref="C20:D20 G4 C4:D5 C13:D13">
    <cfRule type="cellIs" dxfId="250" priority="54" stopIfTrue="1" operator="lessThan">
      <formula>$B$2</formula>
    </cfRule>
  </conditionalFormatting>
  <conditionalFormatting sqref="G5 G7 G9">
    <cfRule type="cellIs" dxfId="249" priority="51" stopIfTrue="1" operator="lessThan">
      <formula>$B$2</formula>
    </cfRule>
  </conditionalFormatting>
  <conditionalFormatting sqref="C6:D6 D14 D16">
    <cfRule type="expression" dxfId="248" priority="49">
      <formula>AND($C6-TODAY()&lt;30,TODAY()&lt;$C6)</formula>
    </cfRule>
  </conditionalFormatting>
  <conditionalFormatting sqref="G6 G8 G10 C6:D6 D7:D12 D14 D16">
    <cfRule type="cellIs" dxfId="247" priority="50" stopIfTrue="1" operator="lessThan">
      <formula>$B$2</formula>
    </cfRule>
  </conditionalFormatting>
  <conditionalFormatting sqref="D12">
    <cfRule type="expression" dxfId="246" priority="47">
      <formula>AND($C12-TODAY()&lt;30,TODAY()&lt;$C12)</formula>
    </cfRule>
  </conditionalFormatting>
  <conditionalFormatting sqref="D12">
    <cfRule type="cellIs" dxfId="245" priority="48" stopIfTrue="1" operator="lessThan">
      <formula>$B$2</formula>
    </cfRule>
  </conditionalFormatting>
  <conditionalFormatting sqref="C13:D13">
    <cfRule type="expression" dxfId="244" priority="45">
      <formula>AND($C13-TODAY()&lt;30,TODAY()&lt;$C13)</formula>
    </cfRule>
  </conditionalFormatting>
  <conditionalFormatting sqref="C13:D13">
    <cfRule type="cellIs" dxfId="243" priority="46" stopIfTrue="1" operator="lessThan">
      <formula>$B$2</formula>
    </cfRule>
  </conditionalFormatting>
  <conditionalFormatting sqref="D14">
    <cfRule type="expression" dxfId="242" priority="43">
      <formula>AND($C14-TODAY()&lt;30,TODAY()&lt;$C14)</formula>
    </cfRule>
  </conditionalFormatting>
  <conditionalFormatting sqref="D14">
    <cfRule type="cellIs" dxfId="241" priority="44" stopIfTrue="1" operator="lessThan">
      <formula>$B$2</formula>
    </cfRule>
  </conditionalFormatting>
  <conditionalFormatting sqref="G13">
    <cfRule type="cellIs" dxfId="240" priority="42" stopIfTrue="1" operator="lessThan">
      <formula>$B$2</formula>
    </cfRule>
  </conditionalFormatting>
  <conditionalFormatting sqref="B4:B11 F4:F11 B13 F13:F14">
    <cfRule type="cellIs" dxfId="239" priority="41" stopIfTrue="1" operator="equal">
      <formula>"已过期"</formula>
    </cfRule>
  </conditionalFormatting>
  <conditionalFormatting sqref="C7">
    <cfRule type="cellIs" dxfId="238" priority="38" stopIfTrue="1" operator="lessThan">
      <formula>$B$2</formula>
    </cfRule>
  </conditionalFormatting>
  <conditionalFormatting sqref="C7">
    <cfRule type="expression" dxfId="237" priority="37">
      <formula>AND($C7-TODAY()&lt;30,TODAY()&lt;$C7)</formula>
    </cfRule>
  </conditionalFormatting>
  <conditionalFormatting sqref="C8">
    <cfRule type="expression" dxfId="236" priority="35">
      <formula>AND($C8-TODAY()&lt;30,TODAY()&lt;$C8)</formula>
    </cfRule>
  </conditionalFormatting>
  <conditionalFormatting sqref="C8">
    <cfRule type="cellIs" dxfId="235" priority="36" stopIfTrue="1" operator="lessThan">
      <formula>$B$2</formula>
    </cfRule>
  </conditionalFormatting>
  <conditionalFormatting sqref="C11">
    <cfRule type="expression" dxfId="234" priority="33">
      <formula>AND($C11-TODAY()&lt;30,TODAY()&lt;$C11)</formula>
    </cfRule>
  </conditionalFormatting>
  <conditionalFormatting sqref="C11">
    <cfRule type="cellIs" dxfId="233" priority="34" stopIfTrue="1" operator="lessThan">
      <formula>$B$2</formula>
    </cfRule>
  </conditionalFormatting>
  <conditionalFormatting sqref="A16:C16">
    <cfRule type="cellIs" dxfId="232" priority="32" stopIfTrue="1" operator="equal">
      <formula>"已过期"</formula>
    </cfRule>
  </conditionalFormatting>
  <conditionalFormatting sqref="E16:G16">
    <cfRule type="cellIs" dxfId="231" priority="31" stopIfTrue="1" operator="equal">
      <formula>"已过期"</formula>
    </cfRule>
  </conditionalFormatting>
  <conditionalFormatting sqref="G11">
    <cfRule type="cellIs" dxfId="230" priority="30" stopIfTrue="1" operator="lessThan">
      <formula>$B$2</formula>
    </cfRule>
  </conditionalFormatting>
  <conditionalFormatting sqref="F12">
    <cfRule type="cellIs" dxfId="229" priority="29" stopIfTrue="1" operator="equal">
      <formula>"已过期"</formula>
    </cfRule>
  </conditionalFormatting>
  <conditionalFormatting sqref="G12">
    <cfRule type="cellIs" dxfId="228" priority="28" stopIfTrue="1" operator="lessThan">
      <formula>$B$2</formula>
    </cfRule>
  </conditionalFormatting>
  <conditionalFormatting sqref="C12">
    <cfRule type="cellIs" dxfId="227" priority="27" stopIfTrue="1" operator="lessThan">
      <formula>$B$2</formula>
    </cfRule>
  </conditionalFormatting>
  <conditionalFormatting sqref="C12">
    <cfRule type="expression" dxfId="226" priority="25">
      <formula>AND($C12-TODAY()&lt;30,TODAY()&lt;$C12)</formula>
    </cfRule>
  </conditionalFormatting>
  <conditionalFormatting sqref="C12">
    <cfRule type="cellIs" dxfId="225" priority="26" stopIfTrue="1" operator="lessThan">
      <formula>$B$2</formula>
    </cfRule>
  </conditionalFormatting>
  <conditionalFormatting sqref="B12">
    <cfRule type="cellIs" dxfId="224" priority="24" stopIfTrue="1" operator="equal">
      <formula>"已过期"</formula>
    </cfRule>
  </conditionalFormatting>
  <conditionalFormatting sqref="C9:C10">
    <cfRule type="expression" dxfId="223" priority="22">
      <formula>AND($C9-TODAY()&lt;30,TODAY()&lt;$C9)</formula>
    </cfRule>
  </conditionalFormatting>
  <conditionalFormatting sqref="C9:C10">
    <cfRule type="cellIs" dxfId="222" priority="23" stopIfTrue="1" operator="lessThan">
      <formula>$B$2</formula>
    </cfRule>
  </conditionalFormatting>
  <conditionalFormatting sqref="G21">
    <cfRule type="expression" dxfId="221" priority="20" stopIfTrue="1">
      <formula>AND(#REF!-TODAY()&lt;30,TODAY()&lt;#REF!)</formula>
    </cfRule>
  </conditionalFormatting>
  <conditionalFormatting sqref="G21">
    <cfRule type="cellIs" dxfId="220" priority="21" stopIfTrue="1" operator="lessThan">
      <formula>$B$2</formula>
    </cfRule>
  </conditionalFormatting>
  <conditionalFormatting sqref="C14">
    <cfRule type="expression" dxfId="219" priority="18">
      <formula>AND($C14-TODAY()&lt;30,TODAY()&lt;$C14)</formula>
    </cfRule>
  </conditionalFormatting>
  <conditionalFormatting sqref="C14">
    <cfRule type="cellIs" dxfId="218" priority="19" stopIfTrue="1" operator="lessThan">
      <formula>$B$2</formula>
    </cfRule>
  </conditionalFormatting>
  <conditionalFormatting sqref="C14">
    <cfRule type="expression" dxfId="217" priority="16">
      <formula>AND($C14-TODAY()&lt;30,TODAY()&lt;$C14)</formula>
    </cfRule>
  </conditionalFormatting>
  <conditionalFormatting sqref="C14">
    <cfRule type="cellIs" dxfId="216" priority="17" stopIfTrue="1" operator="lessThan">
      <formula>$B$2</formula>
    </cfRule>
  </conditionalFormatting>
  <conditionalFormatting sqref="B14">
    <cfRule type="cellIs" dxfId="215" priority="15" stopIfTrue="1" operator="equal">
      <formula>"已过期"</formula>
    </cfRule>
  </conditionalFormatting>
  <conditionalFormatting sqref="G14">
    <cfRule type="cellIs" dxfId="214" priority="14" stopIfTrue="1" operator="lessThan">
      <formula>$B$2</formula>
    </cfRule>
  </conditionalFormatting>
  <conditionalFormatting sqref="D15">
    <cfRule type="expression" dxfId="213" priority="12">
      <formula>AND($C15-TODAY()&lt;30,TODAY()&lt;$C15)</formula>
    </cfRule>
  </conditionalFormatting>
  <conditionalFormatting sqref="D15">
    <cfRule type="cellIs" dxfId="212" priority="13" stopIfTrue="1" operator="lessThan">
      <formula>$B$2</formula>
    </cfRule>
  </conditionalFormatting>
  <conditionalFormatting sqref="D15">
    <cfRule type="expression" dxfId="211" priority="10">
      <formula>AND($C15-TODAY()&lt;30,TODAY()&lt;$C15)</formula>
    </cfRule>
  </conditionalFormatting>
  <conditionalFormatting sqref="D15">
    <cfRule type="cellIs" dxfId="210" priority="11" stopIfTrue="1" operator="lessThan">
      <formula>$B$2</formula>
    </cfRule>
  </conditionalFormatting>
  <conditionalFormatting sqref="F15">
    <cfRule type="cellIs" dxfId="209" priority="9" stopIfTrue="1" operator="equal">
      <formula>"已过期"</formula>
    </cfRule>
  </conditionalFormatting>
  <conditionalFormatting sqref="C15">
    <cfRule type="expression" dxfId="208" priority="7">
      <formula>AND($C15-TODAY()&lt;30,TODAY()&lt;$C15)</formula>
    </cfRule>
  </conditionalFormatting>
  <conditionalFormatting sqref="C15">
    <cfRule type="cellIs" dxfId="207" priority="8" stopIfTrue="1" operator="lessThan">
      <formula>$B$2</formula>
    </cfRule>
  </conditionalFormatting>
  <conditionalFormatting sqref="C15">
    <cfRule type="expression" dxfId="206" priority="5">
      <formula>AND($C15-TODAY()&lt;30,TODAY()&lt;$C15)</formula>
    </cfRule>
  </conditionalFormatting>
  <conditionalFormatting sqref="C15">
    <cfRule type="cellIs" dxfId="205" priority="6" stopIfTrue="1" operator="lessThan">
      <formula>$B$2</formula>
    </cfRule>
  </conditionalFormatting>
  <conditionalFormatting sqref="B15">
    <cfRule type="cellIs" dxfId="204" priority="4" stopIfTrue="1" operator="equal">
      <formula>"已过期"</formula>
    </cfRule>
  </conditionalFormatting>
  <conditionalFormatting sqref="G15">
    <cfRule type="cellIs" dxfId="203" priority="3" stopIfTrue="1" operator="lessThan">
      <formula>$B$2</formula>
    </cfRule>
  </conditionalFormatting>
  <conditionalFormatting sqref="G20">
    <cfRule type="expression" dxfId="202" priority="1" stopIfTrue="1">
      <formula>AND(#REF!-TODAY()&lt;30,TODAY()&lt;#REF!)</formula>
    </cfRule>
  </conditionalFormatting>
  <conditionalFormatting sqref="G20">
    <cfRule type="cellIs" dxfId="20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156</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假设开发法</vt:lpstr>
      <vt:lpstr>收益法</vt:lpstr>
      <vt:lpstr>比较法-商业</vt:lpstr>
      <vt:lpstr>商业收益法 (元)</vt:lpstr>
      <vt:lpstr>收益法-酒店模型</vt:lpstr>
      <vt:lpstr>比较法-住宅</vt:lpstr>
      <vt:lpstr>成本法</vt:lpstr>
      <vt:lpstr>基准地价修正</vt:lpstr>
      <vt:lpstr>结果表-办公</vt:lpstr>
      <vt:lpstr>比较法-办公</vt:lpstr>
      <vt:lpstr>办公收益法 (元)</vt:lpstr>
      <vt:lpstr>收益法（汇总）</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 (2)</vt:lpstr>
      <vt:lpstr>Sheet2</vt:lpstr>
      <vt:lpstr>'办公收益法 (元)'!Print_Area</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'结果表-办公'!Print_Area</vt:lpstr>
      <vt:lpstr>'结果表-商业'!Print_Area</vt:lpstr>
      <vt:lpstr>'商业收益法 (元)'!Print_Area</vt:lpstr>
      <vt:lpstr>收益法!Print_Area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2024-07-15T06:34:58Z</dcterms:modified>
</cp:coreProperties>
</file>