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D:\工作\北京市东城区沙滩后街22号\"/>
    </mc:Choice>
  </mc:AlternateContent>
  <xr:revisionPtr revIDLastSave="0" documentId="13_ncr:1_{7C76D9CC-074D-44F1-9AAA-C93B5F2F3844}" xr6:coauthVersionLast="47" xr6:coauthVersionMax="47" xr10:uidLastSave="{00000000-0000-0000-0000-000000000000}"/>
  <bookViews>
    <workbookView xWindow="-120" yWindow="-120" windowWidth="19440" windowHeight="1500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区片价!$J$1:$J$21</definedName>
    <definedName name="二级分类" localSheetId="37">[1]修正!$C$19:$C$51</definedName>
    <definedName name="二级分类">修正!$C$19:$C$51</definedName>
    <definedName name="法定最高年限" localSheetId="37">[1]定义!$G$1:$G$6</definedName>
    <definedName name="法定最高年限">定义!$G$1:$G$6</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范围判定" localSheetId="37">[1]定义!$D$1:$D$4</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区片价!$Q$1:$Q$51</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区片价!$N$1:$N$64</definedName>
    <definedName name="内部装修维护情况" localSheetId="37">[1]定义!$U$1:$U$6</definedName>
    <definedName name="内部装修维护情况">定义!$U$1:$U$6</definedName>
    <definedName name="七级">区片价!$O$1:$O$45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区片价!$K$1:$K$26</definedName>
    <definedName name="商业层高" localSheetId="37">'[1]比较法-商业'!$B$116:$M$116</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 localSheetId="37">'[1]比较法-商业'!$B$107:$M$107</definedName>
    <definedName name="商业公共部分装修">'比较法-商业'!$B$107:$M$107</definedName>
    <definedName name="商业基础设施水平" localSheetId="37">'[1]比较法-商业'!$B$112:$M$112</definedName>
    <definedName name="商业基础设施水平">'比较法-商业'!$B$112:$M$112</definedName>
    <definedName name="商业建筑结构" localSheetId="37">'[1]比较法-商业'!$B$105:$M$105</definedName>
    <definedName name="商业建筑结构">'比较法-商业'!$B$105:$M$105</definedName>
    <definedName name="商业交易情况" localSheetId="37">'[1]比较法-商业'!$A$61:$M$61</definedName>
    <definedName name="商业交易情况">'比较法-商业'!$A$61:$M$61</definedName>
    <definedName name="商业街名称" localSheetId="37">[1]修正!$C$71:$C$138</definedName>
    <definedName name="商业街名称">修正!$C$71:$C$138</definedName>
    <definedName name="商业进深比" localSheetId="37">'[1]比较法-商业'!$B$120:$M$120</definedName>
    <definedName name="商业进深比">'比较法-商业'!$B$120:$M$120</definedName>
    <definedName name="商业类型" localSheetId="37">'[1]比较法-商业'!$B$100:$M$100</definedName>
    <definedName name="商业类型">'比较法-商业'!$B$100:$M$100</definedName>
    <definedName name="商业临街状况" localSheetId="37">'[1]比较法-商业'!$B$86:$M$86</definedName>
    <definedName name="商业临街状况">'比较法-商业'!$B$86:$M$86</definedName>
    <definedName name="商业楼层" localSheetId="37">'[1]比较法-商业'!$B$92:$M$92</definedName>
    <definedName name="商业楼层">'比较法-商业'!$B$92:$M$92</definedName>
    <definedName name="商业内部装修" localSheetId="37">'[1]比较法-商业'!$B$122:$M$122</definedName>
    <definedName name="商业内部装修">'比较法-商业'!$B$122:$M$122</definedName>
    <definedName name="商业人流量" localSheetId="37">'[1]比较法-商业'!$B$90:$M$90</definedName>
    <definedName name="商业人流量">'比较法-商业'!$B$90:$M$90</definedName>
    <definedName name="商业业态" localSheetId="37">'[1]比较法-商业'!$B$114:$M$114</definedName>
    <definedName name="商业业态">'比较法-商业'!$B$114:$M$114</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区片价!$L$1:$L$33</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交易情况" localSheetId="37">'[1]土地比较法-住宅、综合'!$A$72:$M$72</definedName>
    <definedName name="套工交易情况">'土地比较法-住宅、综合'!$A$72:$M$72</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'[1]土地比较法-住宅、综合'!$B$105:$M$105</definedName>
    <definedName name="套综道路等级">'土地比较法-住宅、综合'!$B$105:$M$105</definedName>
    <definedName name="套综工程地质条件" localSheetId="37">'[1]土地比较法-住宅、综合'!$B$124:$M$124</definedName>
    <definedName name="套综工程地质条件">'土地比较法-住宅、综合'!$B$124:$M$124</definedName>
    <definedName name="套综交易情况" localSheetId="37">'[1]土地比较法-住宅、综合'!$A$72:$M$72</definedName>
    <definedName name="套综交易情况">'土地比较法-住宅、综合'!$A$72:$M$72</definedName>
    <definedName name="套综临街宽度及深度" localSheetId="37">'[1]土地比较法-住宅、综合'!$B$120:$M$120</definedName>
    <definedName name="套综临街宽度及深度">'土地比较法-住宅、综合'!$B$120:$M$120</definedName>
    <definedName name="套综土地级别" localSheetId="37">'[1]土地比较法-住宅、综合'!$B$107:$M$107</definedName>
    <definedName name="套综土地级别">'土地比较法-住宅、综合'!$B$107:$M$107</definedName>
    <definedName name="套综用途" localSheetId="37">'[1]土地比较法-住宅、综合'!$B$74:$M$74</definedName>
    <definedName name="套综用途">'土地比较法-住宅、综合'!$B$74:$M$74</definedName>
    <definedName name="套综宗地内开发程度" localSheetId="37">'[1]土地比较法-住宅、综合'!$B$122:$M$122</definedName>
    <definedName name="套综宗地内开发程度">'土地比较法-住宅、综合'!$B$122:$M$122</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7">[1]定义!$E$2:$E$4</definedName>
    <definedName name="位置">定义!$E$2:$E$4</definedName>
    <definedName name="五等判定" localSheetId="37">[1]定义!$W$1:$W$6</definedName>
    <definedName name="五等判定">定义!$W$1:$W$6</definedName>
    <definedName name="五级">区片价!$M$1:$M$41</definedName>
    <definedName name="项目类型" localSheetId="25">'[2]数据-汇总表'!$C$17:$C$26</definedName>
    <definedName name="项目类型" localSheetId="37">'[1]数据-汇总表'!$C$17:$C$26</definedName>
    <definedName name="项目类型">'数据-汇总表'!$C$17:$C$26</definedName>
    <definedName name="写字楼等级" localSheetId="37">'[1]比较法-办公'!$B$113:$M$113</definedName>
    <definedName name="写字楼等级">'比较法-办公'!$B$113:$M$113</definedName>
    <definedName name="一级">区片价!$I$1:$I$6</definedName>
    <definedName name="一修多修正项2" localSheetId="37">[1]典型户型修正!$5:$5</definedName>
    <definedName name="一修多修正项2">典型户型修正!$5:$5</definedName>
    <definedName name="一修多修正项3" localSheetId="37">[1]典型户型修正!$7:$7</definedName>
    <definedName name="一修多修正项3">典型户型修正!$7:$7</definedName>
    <definedName name="一修多修正项4" localSheetId="37">[1]典型户型修正!$9:$9</definedName>
    <definedName name="一修多修正项4">典型户型修正!$9:$9</definedName>
    <definedName name="一修多修正项5" localSheetId="37">[1]典型户型修正!$11:$11</definedName>
    <definedName name="一修多修正项5">典型户型修正!$11:$11</definedName>
    <definedName name="一修多修正项6" localSheetId="37">[1]典型户型修正!$13:$13</definedName>
    <definedName name="一修多修正项6">典型户型修正!$13:$13</definedName>
    <definedName name="一修多修正项7" localSheetId="37">[1]典型户型修正!$15:$15</definedName>
    <definedName name="一修多修正项7">典型户型修正!$15:$15</definedName>
    <definedName name="一修多修正项8" localSheetId="37">[1]典型户型修正!$17:$17</definedName>
    <definedName name="一修多修正项8">典型户型修正!$17:$17</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[1]定义!$F$1:$F$12</definedName>
    <definedName name="主用途">定义!$F$1:$F$12</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J10" i="80" l="1"/>
  <c r="J9" i="80"/>
  <c r="J8" i="80"/>
  <c r="I17" i="80"/>
  <c r="I15" i="80"/>
  <c r="I14" i="80"/>
  <c r="B10" i="81" l="1"/>
  <c r="B14" i="81" s="1"/>
  <c r="O24" i="1"/>
  <c r="O21" i="1"/>
  <c r="O18" i="1"/>
  <c r="O19" i="1"/>
  <c r="N19" i="1"/>
  <c r="J52" i="15"/>
  <c r="B21" i="1"/>
  <c r="N3" i="80"/>
  <c r="N4" i="80"/>
  <c r="N5" i="80"/>
  <c r="N6" i="80"/>
  <c r="N7" i="80"/>
  <c r="N8" i="80"/>
  <c r="N9" i="80"/>
  <c r="N10" i="80"/>
  <c r="N11" i="80"/>
  <c r="N12" i="80"/>
  <c r="N13" i="80"/>
  <c r="N14" i="80"/>
  <c r="N15" i="80"/>
  <c r="N16" i="80"/>
  <c r="N17" i="80"/>
  <c r="N18" i="80"/>
  <c r="N19" i="80"/>
  <c r="N20" i="80"/>
  <c r="N21" i="80"/>
  <c r="N22" i="80"/>
  <c r="N23" i="80"/>
  <c r="N2" i="80"/>
  <c r="K3" i="80"/>
  <c r="L3" i="80" s="1"/>
  <c r="K4" i="80"/>
  <c r="L4" i="80" s="1"/>
  <c r="K5" i="80"/>
  <c r="L5" i="80" s="1"/>
  <c r="K6" i="80"/>
  <c r="L6" i="80" s="1"/>
  <c r="K7" i="80"/>
  <c r="L7" i="80" s="1"/>
  <c r="K8" i="80"/>
  <c r="L8" i="80" s="1"/>
  <c r="K9" i="80"/>
  <c r="L9" i="80" s="1"/>
  <c r="K10" i="80"/>
  <c r="L10" i="80" s="1"/>
  <c r="K11" i="80"/>
  <c r="L11" i="80" s="1"/>
  <c r="K12" i="80"/>
  <c r="L12" i="80" s="1"/>
  <c r="K13" i="80"/>
  <c r="L13" i="80" s="1"/>
  <c r="K14" i="80"/>
  <c r="L14" i="80" s="1"/>
  <c r="K15" i="80"/>
  <c r="L15" i="80" s="1"/>
  <c r="K16" i="80"/>
  <c r="L16" i="80" s="1"/>
  <c r="K17" i="80"/>
  <c r="L17" i="80" s="1"/>
  <c r="K18" i="80"/>
  <c r="L18" i="80" s="1"/>
  <c r="K19" i="80"/>
  <c r="L19" i="80" s="1"/>
  <c r="K20" i="80"/>
  <c r="L20" i="80" s="1"/>
  <c r="K21" i="80"/>
  <c r="L21" i="80" s="1"/>
  <c r="K22" i="80"/>
  <c r="L22" i="80" s="1"/>
  <c r="K23" i="80"/>
  <c r="L23" i="80" s="1"/>
  <c r="K2" i="80"/>
  <c r="L2" i="80" s="1"/>
  <c r="Y6" i="1"/>
  <c r="E8" i="81"/>
  <c r="E7" i="81"/>
  <c r="E6" i="81"/>
  <c r="E5" i="81"/>
  <c r="E4" i="81"/>
  <c r="E3" i="81"/>
  <c r="E2" i="81"/>
  <c r="C19" i="6"/>
  <c r="F49" i="80"/>
  <c r="D49" i="80"/>
  <c r="G24" i="80"/>
  <c r="F24" i="80"/>
  <c r="D40" i="43" s="1"/>
  <c r="D24" i="80"/>
  <c r="B14" i="74" s="1"/>
  <c r="E23" i="80"/>
  <c r="E22" i="80"/>
  <c r="E21" i="80"/>
  <c r="E20" i="80"/>
  <c r="E19" i="80"/>
  <c r="E18" i="80"/>
  <c r="E17" i="80"/>
  <c r="E16" i="80"/>
  <c r="E15" i="80"/>
  <c r="E14" i="80"/>
  <c r="E13" i="80"/>
  <c r="E12" i="80"/>
  <c r="E11" i="80"/>
  <c r="E10" i="80"/>
  <c r="E9" i="80"/>
  <c r="E8" i="80"/>
  <c r="E7" i="80"/>
  <c r="E6" i="80"/>
  <c r="E5" i="80"/>
  <c r="E4" i="80"/>
  <c r="E3" i="80"/>
  <c r="E2" i="80"/>
  <c r="E24" i="80" s="1"/>
  <c r="D33" i="43" s="1"/>
  <c r="G14" i="73"/>
  <c r="F14" i="73"/>
  <c r="E14" i="73"/>
  <c r="I13" i="3" l="1"/>
  <c r="F19" i="6" s="1"/>
  <c r="B11" i="81"/>
  <c r="K13" i="3"/>
  <c r="G19" i="6" s="1"/>
  <c r="B13" i="81"/>
  <c r="B15" i="81" s="1"/>
  <c r="U6" i="1" s="1"/>
  <c r="N24" i="80"/>
  <c r="M24" i="80" s="1"/>
  <c r="L24" i="80"/>
  <c r="K24"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Z6" i="1" l="1"/>
  <c r="F49" i="15"/>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X38" i="71" s="1"/>
  <c r="Q37" i="71"/>
  <c r="P37" i="71"/>
  <c r="AA37" i="71" s="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O33" i="71"/>
  <c r="C34" i="71" s="1"/>
  <c r="D34" i="71" s="1"/>
  <c r="N33" i="71"/>
  <c r="D33" i="71"/>
  <c r="Q32" i="71"/>
  <c r="AB32" i="71"/>
  <c r="P32" i="71"/>
  <c r="O32" i="71"/>
  <c r="N32" i="71"/>
  <c r="Q31" i="71"/>
  <c r="P31" i="71"/>
  <c r="O31" i="71"/>
  <c r="N31" i="71"/>
  <c r="Q30" i="71"/>
  <c r="P30" i="71"/>
  <c r="O30" i="71"/>
  <c r="N30" i="71"/>
  <c r="Q29" i="71"/>
  <c r="F30" i="71" s="1"/>
  <c r="P29" i="71"/>
  <c r="O29" i="71"/>
  <c r="N29" i="71"/>
  <c r="D29" i="71"/>
  <c r="O28" i="71"/>
  <c r="C28" i="71" s="1"/>
  <c r="N28" i="71"/>
  <c r="X26" i="71" s="1"/>
  <c r="B30" i="71"/>
  <c r="B31" i="71" s="1"/>
  <c r="B32" i="71" s="1"/>
  <c r="S32" i="71" s="1"/>
  <c r="E30" i="71"/>
  <c r="E31" i="71" s="1"/>
  <c r="E32" i="71" s="1"/>
  <c r="U32" i="71" s="1"/>
  <c r="B34" i="71"/>
  <c r="B35" i="71" s="1"/>
  <c r="B36" i="71" s="1"/>
  <c r="S36" i="71" s="1"/>
  <c r="N68" i="71"/>
  <c r="E34" i="71"/>
  <c r="C30" i="71"/>
  <c r="C38" i="71"/>
  <c r="D38" i="71" s="1"/>
  <c r="D30" i="71"/>
  <c r="C51" i="71"/>
  <c r="P28" i="71"/>
  <c r="E28" i="71" s="1"/>
  <c r="E67" i="71"/>
  <c r="P67" i="71" s="1"/>
  <c r="Q28" i="71"/>
  <c r="C59" i="71"/>
  <c r="C60" i="71" s="1"/>
  <c r="D58" i="71"/>
  <c r="D62" i="71"/>
  <c r="D68" i="71"/>
  <c r="E71" i="71"/>
  <c r="E70" i="71" s="1"/>
  <c r="D72" i="71"/>
  <c r="E75" i="71"/>
  <c r="E74" i="71" s="1"/>
  <c r="E79" i="71"/>
  <c r="E78" i="71" s="1"/>
  <c r="D80" i="71"/>
  <c r="C87" i="71"/>
  <c r="F28" i="71"/>
  <c r="F27" i="71" s="1"/>
  <c r="F26" i="71" s="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AC18" i="35"/>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R5" i="3" s="1"/>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F5" i="3" s="1"/>
  <c r="BG508" i="3"/>
  <c r="BH508" i="3"/>
  <c r="BI508" i="3"/>
  <c r="BJ508" i="3"/>
  <c r="BK508" i="3"/>
  <c r="BM508" i="3"/>
  <c r="BN508" i="3"/>
  <c r="BO508" i="3"/>
  <c r="BO5" i="3" s="1"/>
  <c r="BP508" i="3"/>
  <c r="BQ508" i="3"/>
  <c r="BR508" i="3"/>
  <c r="BS508" i="3"/>
  <c r="BT508" i="3"/>
  <c r="H509" i="3"/>
  <c r="BB509" i="3"/>
  <c r="BC509" i="3"/>
  <c r="BD509" i="3"/>
  <c r="BE509" i="3"/>
  <c r="BF509" i="3"/>
  <c r="BG509" i="3"/>
  <c r="BG5" i="3" s="1"/>
  <c r="BH509" i="3"/>
  <c r="BI509" i="3"/>
  <c r="BJ509" i="3"/>
  <c r="BK509" i="3"/>
  <c r="BM509" i="3"/>
  <c r="BN509" i="3"/>
  <c r="BO509" i="3"/>
  <c r="BP509" i="3"/>
  <c r="BP5"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BT5" i="3" s="1"/>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D5" i="3" s="1"/>
  <c r="BE548" i="3"/>
  <c r="BF548" i="3"/>
  <c r="BG548" i="3"/>
  <c r="BH548" i="3"/>
  <c r="BI548" i="3"/>
  <c r="BJ548" i="3"/>
  <c r="BK548" i="3"/>
  <c r="BM548" i="3"/>
  <c r="BM5" i="3" s="1"/>
  <c r="F29" i="6" s="1"/>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E5" i="3" s="1"/>
  <c r="BF550" i="3"/>
  <c r="BG550" i="3"/>
  <c r="BH550" i="3"/>
  <c r="BI550" i="3"/>
  <c r="BJ550" i="3"/>
  <c r="BK550" i="3"/>
  <c r="BM550" i="3"/>
  <c r="BN550" i="3"/>
  <c r="BN5" i="3" s="1"/>
  <c r="G29" i="6" s="1"/>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J32" i="36" s="1"/>
  <c r="W32" i="36" s="1"/>
  <c r="B95" i="36"/>
  <c r="F34" i="36" s="1"/>
  <c r="S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D70" i="36"/>
  <c r="H22" i="36"/>
  <c r="AB22" i="36" s="1"/>
  <c r="D68" i="36"/>
  <c r="E68" i="36" s="1"/>
  <c r="F68" i="36" s="1"/>
  <c r="G68" i="36" s="1"/>
  <c r="D64" i="36"/>
  <c r="E64" i="36" s="1"/>
  <c r="F64" i="36" s="1"/>
  <c r="G64" i="36" s="1"/>
  <c r="J16" i="36"/>
  <c r="W16" i="36" s="1"/>
  <c r="D62" i="36"/>
  <c r="E62" i="36" s="1"/>
  <c r="F62" i="36" s="1"/>
  <c r="G62" i="36" s="1"/>
  <c r="B59" i="36"/>
  <c r="F13" i="36" s="1"/>
  <c r="B57" i="36"/>
  <c r="B55" i="36"/>
  <c r="J11" i="36" s="1"/>
  <c r="AC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Q22" i="36"/>
  <c r="Z22" i="36" s="1"/>
  <c r="J22" i="36"/>
  <c r="AC22" i="36" s="1"/>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s="1"/>
  <c r="B73" i="35"/>
  <c r="J23" i="35" s="1"/>
  <c r="AC23" i="35" s="1"/>
  <c r="H23" i="35"/>
  <c r="U23" i="35" s="1"/>
  <c r="B57" i="35"/>
  <c r="B61" i="35"/>
  <c r="B59" i="35"/>
  <c r="B131" i="34"/>
  <c r="B129" i="34"/>
  <c r="B127" i="34"/>
  <c r="B99" i="34"/>
  <c r="J32" i="34" s="1"/>
  <c r="W32" i="34" s="1"/>
  <c r="B97" i="34"/>
  <c r="H31" i="34" s="1"/>
  <c r="B95" i="34"/>
  <c r="B93" i="34"/>
  <c r="B75" i="34"/>
  <c r="B73" i="34"/>
  <c r="J13" i="34" s="1"/>
  <c r="W13" i="34" s="1"/>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c r="J38" i="33"/>
  <c r="AC38" i="33" s="1"/>
  <c r="H38" i="33"/>
  <c r="AB38" i="33" s="1"/>
  <c r="F38" i="33"/>
  <c r="Q37" i="33"/>
  <c r="Z37" i="33"/>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J30" i="21" s="1"/>
  <c r="W30" i="21" s="1"/>
  <c r="B94" i="21"/>
  <c r="J29" i="21"/>
  <c r="AC29" i="21"/>
  <c r="B92" i="21"/>
  <c r="J28" i="21" s="1"/>
  <c r="W28" i="21" s="1"/>
  <c r="B90" i="21"/>
  <c r="J27" i="21"/>
  <c r="W27" i="21"/>
  <c r="B74" i="21"/>
  <c r="J14" i="21" s="1"/>
  <c r="B72" i="21"/>
  <c r="H13" i="21"/>
  <c r="B70" i="21"/>
  <c r="F12"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J5" i="3" s="1"/>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c r="S41" i="21"/>
  <c r="AA41" i="21"/>
  <c r="F45" i="39"/>
  <c r="S45" i="39" s="1"/>
  <c r="F36" i="39"/>
  <c r="S36" i="39" s="1"/>
  <c r="H36" i="39"/>
  <c r="AB36" i="39"/>
  <c r="J35" i="39"/>
  <c r="AC35" i="39" s="1"/>
  <c r="F35" i="39"/>
  <c r="AA35" i="39" s="1"/>
  <c r="J36" i="39"/>
  <c r="AC36" i="39" s="1"/>
  <c r="U9" i="39"/>
  <c r="W40" i="39"/>
  <c r="W31" i="37"/>
  <c r="E103" i="37"/>
  <c r="F103" i="37" s="1"/>
  <c r="G103" i="37" s="1"/>
  <c r="H103" i="37" s="1"/>
  <c r="I103" i="37" s="1"/>
  <c r="J103" i="37" s="1"/>
  <c r="K103" i="37" s="1"/>
  <c r="L103" i="37" s="1"/>
  <c r="M103" i="37" s="1"/>
  <c r="F29" i="36"/>
  <c r="AA29" i="36" s="1"/>
  <c r="F16" i="36"/>
  <c r="AA16" i="36" s="1"/>
  <c r="J33" i="36"/>
  <c r="AC33" i="36" s="1"/>
  <c r="H22" i="35"/>
  <c r="W28" i="35"/>
  <c r="U31" i="35"/>
  <c r="F36" i="34"/>
  <c r="J35" i="34"/>
  <c r="AC35" i="34" s="1"/>
  <c r="U34" i="34"/>
  <c r="H39" i="33"/>
  <c r="AB39" i="33" s="1"/>
  <c r="S40" i="33"/>
  <c r="S27" i="35"/>
  <c r="F11" i="40"/>
  <c r="H11" i="40"/>
  <c r="AB11" i="40"/>
  <c r="AA9" i="40"/>
  <c r="U9" i="40"/>
  <c r="S34" i="40"/>
  <c r="U34" i="40"/>
  <c r="S38" i="40"/>
  <c r="F42" i="39"/>
  <c r="F41" i="39"/>
  <c r="S41" i="39" s="1"/>
  <c r="H40" i="39"/>
  <c r="AB40" i="39" s="1"/>
  <c r="H39" i="39"/>
  <c r="U39" i="39" s="1"/>
  <c r="S38" i="39"/>
  <c r="H34" i="39"/>
  <c r="U34" i="39" s="1"/>
  <c r="E108" i="39"/>
  <c r="F31" i="39"/>
  <c r="AA31" i="39" s="1"/>
  <c r="H19" i="39"/>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J19" i="39"/>
  <c r="AC19" i="39" s="1"/>
  <c r="J17" i="39"/>
  <c r="J27" i="39"/>
  <c r="AC27" i="39" s="1"/>
  <c r="F27" i="39"/>
  <c r="F11" i="21"/>
  <c r="S11" i="21" s="1"/>
  <c r="U34" i="21"/>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W32" i="40"/>
  <c r="F37" i="39"/>
  <c r="AA37" i="39" s="1"/>
  <c r="J30" i="35"/>
  <c r="H30" i="35"/>
  <c r="AB30" i="35" s="1"/>
  <c r="F22" i="35"/>
  <c r="AA22" i="35" s="1"/>
  <c r="H10" i="35"/>
  <c r="U10" i="35" s="1"/>
  <c r="F33" i="36"/>
  <c r="W30" i="36"/>
  <c r="H16" i="36"/>
  <c r="AB16" i="36"/>
  <c r="E85" i="36"/>
  <c r="F85" i="36" s="1"/>
  <c r="G85" i="36" s="1"/>
  <c r="H85" i="36" s="1"/>
  <c r="I85" i="36" s="1"/>
  <c r="J85" i="36" s="1"/>
  <c r="K85" i="36" s="1"/>
  <c r="L85" i="36" s="1"/>
  <c r="M85" i="36" s="1"/>
  <c r="J29" i="36"/>
  <c r="AC29" i="36" s="1"/>
  <c r="F14" i="35"/>
  <c r="AA14" i="35" s="1"/>
  <c r="F23" i="35"/>
  <c r="J32" i="35"/>
  <c r="AC32" i="35" s="1"/>
  <c r="J16" i="35"/>
  <c r="AC16" i="35" s="1"/>
  <c r="H16" i="35"/>
  <c r="U16" i="35"/>
  <c r="F16" i="35"/>
  <c r="S16" i="35" s="1"/>
  <c r="H14" i="35"/>
  <c r="AB14" i="35"/>
  <c r="J29" i="35"/>
  <c r="H33" i="35"/>
  <c r="J20" i="35"/>
  <c r="W20" i="35"/>
  <c r="F35" i="37"/>
  <c r="F101" i="37"/>
  <c r="G101" i="37" s="1"/>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F25" i="34"/>
  <c r="S25" i="34" s="1"/>
  <c r="H23" i="34"/>
  <c r="AB23" i="34" s="1"/>
  <c r="U23" i="34"/>
  <c r="J23" i="34"/>
  <c r="AC23" i="34" s="1"/>
  <c r="F19" i="34"/>
  <c r="H17" i="34"/>
  <c r="AB17" i="34" s="1"/>
  <c r="F15" i="34"/>
  <c r="AA15" i="34" s="1"/>
  <c r="J15" i="34"/>
  <c r="AC15" i="34" s="1"/>
  <c r="H15" i="34"/>
  <c r="AB15" i="34" s="1"/>
  <c r="W8" i="34"/>
  <c r="F41" i="33"/>
  <c r="F32" i="33"/>
  <c r="AA32" i="33"/>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C11" i="40"/>
  <c r="F29" i="35"/>
  <c r="S29" i="35" s="1"/>
  <c r="H29" i="35"/>
  <c r="AB29" i="35" s="1"/>
  <c r="H33" i="37"/>
  <c r="F33" i="37"/>
  <c r="AA33" i="37" s="1"/>
  <c r="S34" i="37"/>
  <c r="AA34" i="37"/>
  <c r="J43" i="34"/>
  <c r="AB42" i="34"/>
  <c r="J40" i="34"/>
  <c r="AC40" i="34" s="1"/>
  <c r="H38" i="34"/>
  <c r="AB38" i="34" s="1"/>
  <c r="J36" i="34"/>
  <c r="W36" i="34"/>
  <c r="H37" i="34"/>
  <c r="U37" i="34" s="1"/>
  <c r="H25" i="34"/>
  <c r="AB25" i="34" s="1"/>
  <c r="J25" i="34"/>
  <c r="AC25" i="34"/>
  <c r="F23" i="34"/>
  <c r="AA23" i="34"/>
  <c r="J19" i="34"/>
  <c r="AC19" i="34" s="1"/>
  <c r="F17" i="34"/>
  <c r="AA17" i="34" s="1"/>
  <c r="J17" i="34"/>
  <c r="W17" i="34" s="1"/>
  <c r="G113" i="33"/>
  <c r="H113" i="33" s="1"/>
  <c r="I113" i="33" s="1"/>
  <c r="J113" i="33" s="1"/>
  <c r="K113" i="33" s="1"/>
  <c r="L113" i="33" s="1"/>
  <c r="M113" i="33" s="1"/>
  <c r="H37" i="33"/>
  <c r="AB37" i="33"/>
  <c r="H15" i="33"/>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AC44" i="34" s="1"/>
  <c r="F44" i="34"/>
  <c r="S44" i="34" s="1"/>
  <c r="AA44" i="34"/>
  <c r="J10" i="35"/>
  <c r="AC10" i="35" s="1"/>
  <c r="W14" i="21"/>
  <c r="F28" i="21"/>
  <c r="J44" i="21"/>
  <c r="H44" i="21"/>
  <c r="U44" i="21" s="1"/>
  <c r="F44" i="21"/>
  <c r="AA44" i="21" s="1"/>
  <c r="H46" i="21"/>
  <c r="U46" i="21"/>
  <c r="J46" i="21"/>
  <c r="F46" i="21"/>
  <c r="AA46" i="21" s="1"/>
  <c r="E119" i="21"/>
  <c r="F119" i="21" s="1"/>
  <c r="G119" i="21" s="1"/>
  <c r="H119" i="21" s="1"/>
  <c r="I119" i="21" s="1"/>
  <c r="J119" i="21" s="1"/>
  <c r="K119" i="21" s="1"/>
  <c r="L119" i="21" s="1"/>
  <c r="M119" i="21" s="1"/>
  <c r="H28" i="33"/>
  <c r="F28" i="33"/>
  <c r="AA28" i="33"/>
  <c r="J28" i="33"/>
  <c r="W28" i="33" s="1"/>
  <c r="F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J13" i="33"/>
  <c r="H13" i="33"/>
  <c r="U13" i="33" s="1"/>
  <c r="F13" i="33"/>
  <c r="S13" i="33" s="1"/>
  <c r="J29" i="33"/>
  <c r="H29" i="33"/>
  <c r="U29" i="33"/>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W11" i="35" s="1"/>
  <c r="F11" i="35"/>
  <c r="S11" i="35" s="1"/>
  <c r="J26" i="36"/>
  <c r="W26" i="36"/>
  <c r="H28" i="36"/>
  <c r="F11" i="36"/>
  <c r="H13" i="36"/>
  <c r="J13" i="36"/>
  <c r="S13" i="36"/>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H40" i="37"/>
  <c r="U40" i="37" s="1"/>
  <c r="J40" i="37"/>
  <c r="AC40" i="37"/>
  <c r="F40" i="37"/>
  <c r="AA40" i="37" s="1"/>
  <c r="AC12" i="40"/>
  <c r="F14" i="33"/>
  <c r="S14" i="33" s="1"/>
  <c r="H30" i="33"/>
  <c r="AB30" i="33" s="1"/>
  <c r="F30" i="33"/>
  <c r="J30" i="33"/>
  <c r="H44" i="33"/>
  <c r="J46" i="33"/>
  <c r="AC46" i="33"/>
  <c r="F46" i="33"/>
  <c r="AA46" i="33" s="1"/>
  <c r="H46" i="33"/>
  <c r="AB46" i="33"/>
  <c r="H13" i="34"/>
  <c r="U13" i="34" s="1"/>
  <c r="F13" i="34"/>
  <c r="AA13" i="34" s="1"/>
  <c r="J29" i="34"/>
  <c r="F29" i="34"/>
  <c r="S29" i="34" s="1"/>
  <c r="H29" i="34"/>
  <c r="J31" i="34"/>
  <c r="AC31" i="34" s="1"/>
  <c r="F31" i="34"/>
  <c r="S31" i="34" s="1"/>
  <c r="H45" i="34"/>
  <c r="U45" i="34" s="1"/>
  <c r="J45" i="34"/>
  <c r="F45" i="34"/>
  <c r="S45" i="34" s="1"/>
  <c r="H47" i="34"/>
  <c r="U47" i="34" s="1"/>
  <c r="F47" i="34"/>
  <c r="S47" i="34" s="1"/>
  <c r="J47" i="34"/>
  <c r="F13" i="35"/>
  <c r="J13" i="35"/>
  <c r="AC13" i="35"/>
  <c r="H13" i="35"/>
  <c r="U13" i="35" s="1"/>
  <c r="W25" i="35"/>
  <c r="F25" i="35"/>
  <c r="S25" i="35" s="1"/>
  <c r="H25" i="35"/>
  <c r="AB25" i="35" s="1"/>
  <c r="J35" i="35"/>
  <c r="AC35" i="35" s="1"/>
  <c r="F35" i="35"/>
  <c r="AA35" i="35" s="1"/>
  <c r="H35" i="35"/>
  <c r="F25" i="36"/>
  <c r="AB25" i="36"/>
  <c r="H13" i="37"/>
  <c r="AB13" i="37" s="1"/>
  <c r="F13" i="37"/>
  <c r="S13" i="37" s="1"/>
  <c r="J13" i="37"/>
  <c r="F28" i="37"/>
  <c r="AA28" i="37" s="1"/>
  <c r="J28" i="37"/>
  <c r="AC28" i="37" s="1"/>
  <c r="H28" i="37"/>
  <c r="H38" i="37"/>
  <c r="J38" i="37"/>
  <c r="AC38" i="37" s="1"/>
  <c r="F38" i="37"/>
  <c r="S38" i="37" s="1"/>
  <c r="F43" i="39"/>
  <c r="AA43" i="39" s="1"/>
  <c r="H43" i="39"/>
  <c r="J14" i="39"/>
  <c r="AC14" i="39" s="1"/>
  <c r="F14" i="39"/>
  <c r="H14" i="39"/>
  <c r="F12" i="40"/>
  <c r="S12" i="40"/>
  <c r="H12" i="40"/>
  <c r="AB12" i="40" s="1"/>
  <c r="H30" i="40"/>
  <c r="AB30" i="40" s="1"/>
  <c r="F33" i="40"/>
  <c r="AA33" i="40" s="1"/>
  <c r="H33" i="40"/>
  <c r="U33" i="40"/>
  <c r="J35" i="40"/>
  <c r="AC35" i="40" s="1"/>
  <c r="J37" i="40"/>
  <c r="AC37" i="40" s="1"/>
  <c r="H13" i="40"/>
  <c r="U13" i="40" s="1"/>
  <c r="J13" i="40"/>
  <c r="AC13" i="40" s="1"/>
  <c r="W13" i="40"/>
  <c r="F13" i="40"/>
  <c r="AA13" i="40" s="1"/>
  <c r="F14" i="37"/>
  <c r="F27" i="37"/>
  <c r="AA27" i="37" s="1"/>
  <c r="F13" i="39"/>
  <c r="J13" i="39"/>
  <c r="W13" i="39" s="1"/>
  <c r="H13" i="39"/>
  <c r="H14" i="40"/>
  <c r="U14" i="40" s="1"/>
  <c r="AB14" i="40"/>
  <c r="J14" i="40"/>
  <c r="W14" i="40" s="1"/>
  <c r="F14" i="40"/>
  <c r="AA14" i="40" s="1"/>
  <c r="J14" i="37"/>
  <c r="J27" i="37"/>
  <c r="U46" i="33"/>
  <c r="AA14" i="33"/>
  <c r="J36" i="37"/>
  <c r="AC36" i="37" s="1"/>
  <c r="J10" i="36"/>
  <c r="AC10" i="36" s="1"/>
  <c r="AB46" i="34"/>
  <c r="S45" i="33"/>
  <c r="F17" i="21"/>
  <c r="AA17" i="21" s="1"/>
  <c r="H17" i="21"/>
  <c r="F15" i="21"/>
  <c r="S15" i="21" s="1"/>
  <c r="J41" i="39"/>
  <c r="W41" i="39" s="1"/>
  <c r="U36" i="39"/>
  <c r="S35" i="39"/>
  <c r="G544" i="3"/>
  <c r="G535" i="3"/>
  <c r="G532" i="3"/>
  <c r="G531" i="3"/>
  <c r="G523" i="3"/>
  <c r="G518" i="3"/>
  <c r="G508" i="3"/>
  <c r="G504" i="3"/>
  <c r="G496" i="3"/>
  <c r="G584" i="3"/>
  <c r="G580" i="3"/>
  <c r="G572" i="3"/>
  <c r="G568" i="3"/>
  <c r="G564" i="3"/>
  <c r="G554" i="3"/>
  <c r="BL584" i="3"/>
  <c r="BL576" i="3"/>
  <c r="BL572" i="3"/>
  <c r="BL568" i="3"/>
  <c r="BL560" i="3"/>
  <c r="BL538" i="3"/>
  <c r="BL534" i="3"/>
  <c r="BL516" i="3"/>
  <c r="BL512" i="3"/>
  <c r="BL502" i="3"/>
  <c r="BL498" i="3"/>
  <c r="BL494" i="3"/>
  <c r="BL578" i="3"/>
  <c r="BL574" i="3"/>
  <c r="BL570" i="3"/>
  <c r="BL562" i="3"/>
  <c r="BL556" i="3"/>
  <c r="BL536" i="3"/>
  <c r="G533" i="3"/>
  <c r="G529" i="3"/>
  <c r="G525" i="3"/>
  <c r="BL518" i="3"/>
  <c r="BL500" i="3"/>
  <c r="AZ500" i="3" s="1"/>
  <c r="BL496" i="3"/>
  <c r="G493" i="3"/>
  <c r="BA582" i="3"/>
  <c r="BA580" i="3"/>
  <c r="BA578" i="3"/>
  <c r="BA574" i="3"/>
  <c r="AZ574" i="3" s="1"/>
  <c r="BA572" i="3"/>
  <c r="AZ572" i="3" s="1"/>
  <c r="BA570" i="3"/>
  <c r="AZ570" i="3" s="1"/>
  <c r="BA566" i="3"/>
  <c r="BA564" i="3"/>
  <c r="BA562" i="3"/>
  <c r="BA558" i="3"/>
  <c r="BA556" i="3"/>
  <c r="BA546" i="3"/>
  <c r="BA540" i="3"/>
  <c r="BA538" i="3"/>
  <c r="AZ538" i="3" s="1"/>
  <c r="BA534" i="3"/>
  <c r="AZ534" i="3"/>
  <c r="BA528" i="3"/>
  <c r="BA526" i="3"/>
  <c r="BA520" i="3"/>
  <c r="BA518" i="3"/>
  <c r="AZ518" i="3" s="1"/>
  <c r="BA512" i="3"/>
  <c r="BA510" i="3"/>
  <c r="AZ510" i="3" s="1"/>
  <c r="BA504" i="3"/>
  <c r="BA502" i="3"/>
  <c r="BA500" i="3"/>
  <c r="BA498" i="3"/>
  <c r="AZ498" i="3" s="1"/>
  <c r="BA496" i="3"/>
  <c r="BA494" i="3"/>
  <c r="BA583" i="3"/>
  <c r="BA581" i="3"/>
  <c r="BA579" i="3"/>
  <c r="BA577" i="3"/>
  <c r="BA575" i="3"/>
  <c r="BA573" i="3"/>
  <c r="BA571" i="3"/>
  <c r="BA569" i="3"/>
  <c r="BA567" i="3"/>
  <c r="BA565" i="3"/>
  <c r="BA563" i="3"/>
  <c r="BA561" i="3"/>
  <c r="BA559" i="3"/>
  <c r="BA549" i="3"/>
  <c r="BA541" i="3"/>
  <c r="BA535" i="3"/>
  <c r="BA533" i="3"/>
  <c r="BA527" i="3"/>
  <c r="BA525" i="3"/>
  <c r="BA517" i="3"/>
  <c r="BA515"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AZ563" i="3" s="1"/>
  <c r="BQ561" i="3"/>
  <c r="BL561" i="3"/>
  <c r="BQ559" i="3"/>
  <c r="BL559" i="3" s="1"/>
  <c r="AZ559" i="3" s="1"/>
  <c r="G559" i="3"/>
  <c r="G555" i="3"/>
  <c r="G553" i="3"/>
  <c r="G547" i="3"/>
  <c r="G545" i="3"/>
  <c r="G543" i="3"/>
  <c r="G539" i="3"/>
  <c r="G537" i="3"/>
  <c r="BQ555" i="3"/>
  <c r="BQ553" i="3"/>
  <c r="BQ551" i="3"/>
  <c r="BQ549" i="3"/>
  <c r="BQ547" i="3"/>
  <c r="BL547" i="3" s="1"/>
  <c r="BQ545" i="3"/>
  <c r="BQ543" i="3"/>
  <c r="BQ541" i="3"/>
  <c r="BQ539" i="3"/>
  <c r="BQ537" i="3"/>
  <c r="BL537" i="3" s="1"/>
  <c r="BQ535" i="3"/>
  <c r="BL535" i="3" s="1"/>
  <c r="AZ535" i="3" s="1"/>
  <c r="BQ533" i="3"/>
  <c r="BQ531" i="3"/>
  <c r="BL531" i="3" s="1"/>
  <c r="BQ529" i="3"/>
  <c r="BL529" i="3" s="1"/>
  <c r="BQ527" i="3"/>
  <c r="BQ525" i="3"/>
  <c r="BQ523" i="3"/>
  <c r="BL523" i="3" s="1"/>
  <c r="BA521" i="3"/>
  <c r="AC521" i="3"/>
  <c r="BQ521" i="3"/>
  <c r="BL520" i="3"/>
  <c r="G519" i="3"/>
  <c r="G517" i="3"/>
  <c r="G515" i="3"/>
  <c r="G513" i="3"/>
  <c r="G511" i="3"/>
  <c r="BQ519" i="3"/>
  <c r="BQ517" i="3"/>
  <c r="BQ515" i="3"/>
  <c r="BL515" i="3" s="1"/>
  <c r="BQ513" i="3"/>
  <c r="BQ511" i="3"/>
  <c r="BA509" i="3"/>
  <c r="AC509" i="3"/>
  <c r="BQ509"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H27" i="34"/>
  <c r="AB27" i="34" s="1"/>
  <c r="H35" i="34"/>
  <c r="U35" i="34" s="1"/>
  <c r="F41" i="34"/>
  <c r="H41" i="34"/>
  <c r="J41" i="34"/>
  <c r="AC41" i="34" s="1"/>
  <c r="F10" i="35"/>
  <c r="S10" i="35" s="1"/>
  <c r="F24" i="35"/>
  <c r="AA24" i="35" s="1"/>
  <c r="H24" i="35"/>
  <c r="H23" i="37"/>
  <c r="AB23" i="37" s="1"/>
  <c r="J32" i="37"/>
  <c r="AC32" i="37" s="1"/>
  <c r="F36" i="37"/>
  <c r="AA36" i="37" s="1"/>
  <c r="F37" i="37"/>
  <c r="F31" i="40"/>
  <c r="AA31" i="40" s="1"/>
  <c r="H31" i="40"/>
  <c r="U31" i="40" s="1"/>
  <c r="F32" i="40"/>
  <c r="S32" i="40" s="1"/>
  <c r="H32" i="40"/>
  <c r="AB32" i="40" s="1"/>
  <c r="J36" i="40"/>
  <c r="W36" i="40" s="1"/>
  <c r="H19" i="37"/>
  <c r="AB19" i="37" s="1"/>
  <c r="H42" i="33"/>
  <c r="AB42" i="33" s="1"/>
  <c r="J43" i="33"/>
  <c r="AC43" i="33" s="1"/>
  <c r="S28" i="31"/>
  <c r="S27" i="31"/>
  <c r="S26" i="31"/>
  <c r="W23" i="35"/>
  <c r="AC36" i="34"/>
  <c r="AC45" i="33"/>
  <c r="U11" i="33"/>
  <c r="U19" i="21"/>
  <c r="AB38" i="21"/>
  <c r="F43" i="33"/>
  <c r="AA43" i="33" s="1"/>
  <c r="W15" i="34"/>
  <c r="W16" i="35"/>
  <c r="W40" i="37"/>
  <c r="H37" i="21"/>
  <c r="U37" i="21" s="1"/>
  <c r="H19" i="34"/>
  <c r="AB19" i="34" s="1"/>
  <c r="F36" i="35"/>
  <c r="S36" i="35" s="1"/>
  <c r="J9" i="37"/>
  <c r="W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F19" i="40"/>
  <c r="S14" i="40"/>
  <c r="AB33" i="40"/>
  <c r="W23" i="39"/>
  <c r="AC43" i="39"/>
  <c r="W43" i="39"/>
  <c r="G100" i="39"/>
  <c r="H37" i="39"/>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AC11" i="39" s="1"/>
  <c r="W11" i="39"/>
  <c r="F11" i="39"/>
  <c r="S11" i="39" s="1"/>
  <c r="AA11" i="39"/>
  <c r="G4" i="4"/>
  <c r="I4" i="4"/>
  <c r="A2" i="9"/>
  <c r="F61" i="43"/>
  <c r="H64" i="43" s="1"/>
  <c r="G64" i="43" s="1"/>
  <c r="BL549" i="3"/>
  <c r="AZ514" i="3"/>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AZ127" i="3"/>
  <c r="BL128" i="3"/>
  <c r="AZ128" i="3" s="1"/>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AZ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s="1"/>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BL362" i="3"/>
  <c r="G363" i="3"/>
  <c r="BA365" i="3"/>
  <c r="BL366" i="3"/>
  <c r="G367" i="3"/>
  <c r="BA369" i="3"/>
  <c r="AZ369" i="3"/>
  <c r="BL370" i="3"/>
  <c r="G371" i="3"/>
  <c r="BA373" i="3"/>
  <c r="AZ373" i="3"/>
  <c r="BL374" i="3"/>
  <c r="G375" i="3"/>
  <c r="BA377" i="3"/>
  <c r="AZ377" i="3"/>
  <c r="AZ249" i="3"/>
  <c r="BA379" i="3"/>
  <c r="AZ379" i="3" s="1"/>
  <c r="BL380" i="3"/>
  <c r="AZ380" i="3" s="1"/>
  <c r="G381" i="3"/>
  <c r="BA383" i="3"/>
  <c r="AZ383" i="3" s="1"/>
  <c r="BL384" i="3"/>
  <c r="G385" i="3"/>
  <c r="BA387" i="3"/>
  <c r="BL388" i="3"/>
  <c r="G389" i="3"/>
  <c r="BA391" i="3"/>
  <c r="AZ391" i="3" s="1"/>
  <c r="BL392" i="3"/>
  <c r="G393" i="3"/>
  <c r="BH5" i="3"/>
  <c r="G548" i="3"/>
  <c r="G538" i="3"/>
  <c r="G520" i="3"/>
  <c r="G502" i="3"/>
  <c r="BS5" i="3"/>
  <c r="BK5" i="3"/>
  <c r="BI5" i="3"/>
  <c r="G17" i="3"/>
  <c r="BA17" i="3"/>
  <c r="AZ17" i="3" s="1"/>
  <c r="BA15" i="3"/>
  <c r="BB5" i="3"/>
  <c r="G509" i="3"/>
  <c r="BL493" i="3"/>
  <c r="AZ493" i="3" s="1"/>
  <c r="U36" i="40"/>
  <c r="F83" i="43"/>
  <c r="H85" i="43" s="1"/>
  <c r="F50" i="43"/>
  <c r="H54" i="43" s="1"/>
  <c r="F72" i="43"/>
  <c r="H75" i="43" s="1"/>
  <c r="U17" i="39"/>
  <c r="S14" i="35"/>
  <c r="U43" i="21"/>
  <c r="U35" i="21"/>
  <c r="AC35" i="21"/>
  <c r="G8" i="1"/>
  <c r="G10" i="1"/>
  <c r="AZ501" i="3"/>
  <c r="W37"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H35" i="37"/>
  <c r="U35" i="37" s="1"/>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W30" i="40" s="1"/>
  <c r="AC30" i="40"/>
  <c r="F30" i="40"/>
  <c r="AA30" i="40"/>
  <c r="AC21" i="40"/>
  <c r="S31" i="39"/>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W27" i="34"/>
  <c r="AC27" i="34"/>
  <c r="AB33" i="36"/>
  <c r="U33" i="36"/>
  <c r="AC12" i="39"/>
  <c r="W12" i="39"/>
  <c r="W12" i="33"/>
  <c r="AC12" i="33"/>
  <c r="BL14" i="3"/>
  <c r="U30" i="33"/>
  <c r="AC13" i="34"/>
  <c r="AA47" i="34"/>
  <c r="W28" i="37"/>
  <c r="S19" i="39"/>
  <c r="F12" i="33"/>
  <c r="H12" i="39"/>
  <c r="F39" i="40"/>
  <c r="AA39" i="40" s="1"/>
  <c r="BA14" i="3"/>
  <c r="AZ14" i="3" s="1"/>
  <c r="B12" i="1"/>
  <c r="E12" i="1" s="1"/>
  <c r="B10" i="1"/>
  <c r="E10" i="1" s="1"/>
  <c r="K12" i="1"/>
  <c r="M12" i="1" s="1"/>
  <c r="S13" i="1"/>
  <c r="AR13" i="1" s="1"/>
  <c r="R13" i="1"/>
  <c r="J51" i="67"/>
  <c r="C42" i="1"/>
  <c r="C24" i="12" s="1"/>
  <c r="AC34" i="33"/>
  <c r="B41" i="1"/>
  <c r="F48" i="9" s="1"/>
  <c r="O52" i="9" s="1"/>
  <c r="AB37" i="40"/>
  <c r="S35" i="40"/>
  <c r="U35" i="40"/>
  <c r="AC36" i="40"/>
  <c r="W38" i="40"/>
  <c r="AA32" i="40"/>
  <c r="S17" i="40"/>
  <c r="AC17" i="40"/>
  <c r="AC15" i="40"/>
  <c r="AB27" i="40"/>
  <c r="S30" i="40"/>
  <c r="S28" i="40"/>
  <c r="AA27" i="40"/>
  <c r="U21" i="40"/>
  <c r="S37" i="39"/>
  <c r="U35" i="39"/>
  <c r="F32" i="39"/>
  <c r="S32" i="39" s="1"/>
  <c r="F106" i="39"/>
  <c r="G106" i="39" s="1"/>
  <c r="H106" i="39" s="1"/>
  <c r="I106" i="39" s="1"/>
  <c r="J106" i="39" s="1"/>
  <c r="K106" i="39" s="1"/>
  <c r="L106" i="39" s="1"/>
  <c r="M106" i="39" s="1"/>
  <c r="U31" i="39"/>
  <c r="J21" i="39"/>
  <c r="W21" i="39" s="1"/>
  <c r="F21" i="39"/>
  <c r="G94" i="39"/>
  <c r="H21" i="39"/>
  <c r="AB21" i="39" s="1"/>
  <c r="W19" i="39"/>
  <c r="S17" i="39"/>
  <c r="S15" i="39"/>
  <c r="AA12" i="39"/>
  <c r="S9" i="39"/>
  <c r="AC13" i="39"/>
  <c r="U26" i="36"/>
  <c r="AA34" i="36"/>
  <c r="AC26" i="36"/>
  <c r="AA22" i="36"/>
  <c r="W14" i="36"/>
  <c r="AB14" i="36"/>
  <c r="U22" i="36"/>
  <c r="S16" i="36"/>
  <c r="U16" i="36"/>
  <c r="S14" i="36"/>
  <c r="AA25" i="35"/>
  <c r="W24" i="35"/>
  <c r="AB13" i="35"/>
  <c r="U29" i="35"/>
  <c r="U28" i="35"/>
  <c r="AB27" i="35"/>
  <c r="U36" i="35"/>
  <c r="U32" i="35"/>
  <c r="S32" i="35"/>
  <c r="AA36" i="35"/>
  <c r="AB16" i="35"/>
  <c r="S20" i="35"/>
  <c r="AC20" i="35"/>
  <c r="S22" i="35"/>
  <c r="U14" i="35"/>
  <c r="AA11" i="35"/>
  <c r="AC9" i="35"/>
  <c r="W9" i="35"/>
  <c r="W13" i="35"/>
  <c r="F9" i="35"/>
  <c r="S9" i="35" s="1"/>
  <c r="H9" i="35"/>
  <c r="U9" i="35" s="1"/>
  <c r="AB40" i="37"/>
  <c r="AC29" i="37"/>
  <c r="U29" i="37"/>
  <c r="AB31" i="37"/>
  <c r="W30" i="37"/>
  <c r="S36" i="37"/>
  <c r="AA38" i="37"/>
  <c r="W38" i="37"/>
  <c r="AC35" i="37"/>
  <c r="S30" i="37"/>
  <c r="AC15" i="37"/>
  <c r="J17" i="37"/>
  <c r="G73" i="37"/>
  <c r="F17" i="37"/>
  <c r="AA17" i="37" s="1"/>
  <c r="AB17" i="37"/>
  <c r="F75" i="37"/>
  <c r="F19" i="37"/>
  <c r="S19" i="37" s="1"/>
  <c r="F79" i="37"/>
  <c r="G79" i="37" s="1"/>
  <c r="F23" i="37"/>
  <c r="S23" i="37" s="1"/>
  <c r="U23" i="37"/>
  <c r="U15" i="37"/>
  <c r="AA13" i="37"/>
  <c r="H10" i="37"/>
  <c r="AB10" i="37" s="1"/>
  <c r="F63" i="37"/>
  <c r="F11" i="37"/>
  <c r="S11" i="37" s="1"/>
  <c r="W25" i="34"/>
  <c r="AB8" i="34"/>
  <c r="AA33" i="34"/>
  <c r="U43"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AC23" i="33" s="1"/>
  <c r="F85" i="33"/>
  <c r="G85" i="33" s="1"/>
  <c r="H23" i="33"/>
  <c r="AB23" i="33" s="1"/>
  <c r="F19" i="33"/>
  <c r="S19" i="33" s="1"/>
  <c r="W19" i="33"/>
  <c r="J17" i="33"/>
  <c r="W17" i="33" s="1"/>
  <c r="F79" i="33"/>
  <c r="G79" i="33" s="1"/>
  <c r="S15" i="33"/>
  <c r="W15" i="33"/>
  <c r="J10" i="33"/>
  <c r="W10" i="33" s="1"/>
  <c r="H10" i="33"/>
  <c r="U10" i="33" s="1"/>
  <c r="AC11" i="33"/>
  <c r="W43" i="21"/>
  <c r="W36" i="21"/>
  <c r="W41" i="21"/>
  <c r="AB39" i="21"/>
  <c r="AA43" i="21"/>
  <c r="S39" i="21"/>
  <c r="AA36" i="21"/>
  <c r="AC40" i="21"/>
  <c r="J15" i="21"/>
  <c r="F77" i="21"/>
  <c r="G77" i="21"/>
  <c r="F23" i="21"/>
  <c r="S23" i="21" s="1"/>
  <c r="E85" i="21"/>
  <c r="D120" i="9"/>
  <c r="D121" i="9" s="1"/>
  <c r="D7" i="52" s="1"/>
  <c r="C18" i="9"/>
  <c r="D18" i="9" s="1"/>
  <c r="BA13" i="3"/>
  <c r="BL17" i="3"/>
  <c r="BL13" i="3"/>
  <c r="J56" i="9"/>
  <c r="J57" i="9" s="1"/>
  <c r="J59" i="9" s="1"/>
  <c r="J61" i="9" s="1"/>
  <c r="E32" i="6"/>
  <c r="E19" i="69"/>
  <c r="E19" i="68"/>
  <c r="E19" i="11"/>
  <c r="E1" i="73"/>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S14" i="39"/>
  <c r="AA14" i="39"/>
  <c r="U43" i="39"/>
  <c r="AB43" i="39"/>
  <c r="AB11" i="39"/>
  <c r="U11" i="39"/>
  <c r="W17" i="39"/>
  <c r="AC17" i="39"/>
  <c r="W31" i="39"/>
  <c r="AC31" i="39"/>
  <c r="S23" i="39"/>
  <c r="AA45" i="39"/>
  <c r="AB39" i="39"/>
  <c r="W34" i="39"/>
  <c r="U38" i="39"/>
  <c r="S8" i="39"/>
  <c r="W29" i="36"/>
  <c r="U25" i="36"/>
  <c r="AA13" i="36"/>
  <c r="W9" i="36"/>
  <c r="W22" i="36"/>
  <c r="W23" i="36"/>
  <c r="AB20" i="35"/>
  <c r="AC25" i="35"/>
  <c r="U25" i="35"/>
  <c r="S24" i="35"/>
  <c r="S35" i="35"/>
  <c r="W35" i="35"/>
  <c r="AA16" i="35"/>
  <c r="W36" i="37"/>
  <c r="S27" i="37"/>
  <c r="S28" i="37"/>
  <c r="W32" i="37"/>
  <c r="U36" i="37"/>
  <c r="S40" i="37"/>
  <c r="AC34" i="37"/>
  <c r="AB35" i="37"/>
  <c r="AA31" i="37"/>
  <c r="U19" i="37"/>
  <c r="AA29" i="37"/>
  <c r="U8" i="37"/>
  <c r="AA40" i="34"/>
  <c r="AB40" i="34"/>
  <c r="U19" i="34"/>
  <c r="W19" i="34"/>
  <c r="AB33" i="34"/>
  <c r="AA31" i="34"/>
  <c r="AA30" i="34"/>
  <c r="AB45" i="34"/>
  <c r="AB47" i="34"/>
  <c r="U25" i="34"/>
  <c r="AB36"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W23" i="34"/>
  <c r="W35" i="34"/>
  <c r="U12" i="34"/>
  <c r="AB12" i="34"/>
  <c r="AC37" i="33"/>
  <c r="W46" i="33"/>
  <c r="U39" i="33"/>
  <c r="U38" i="33"/>
  <c r="S33" i="33"/>
  <c r="AB34" i="33"/>
  <c r="U44" i="33"/>
  <c r="AB44" i="33"/>
  <c r="S30" i="33"/>
  <c r="AA30" i="33"/>
  <c r="AC14" i="33"/>
  <c r="W14" i="33"/>
  <c r="AC30" i="33"/>
  <c r="W30" i="33"/>
  <c r="S31" i="33"/>
  <c r="AA31" i="33"/>
  <c r="W13" i="33"/>
  <c r="AC13" i="33"/>
  <c r="S11" i="33"/>
  <c r="U37" i="33"/>
  <c r="AC28" i="33"/>
  <c r="S28" i="33"/>
  <c r="W8" i="33"/>
  <c r="S44" i="21"/>
  <c r="AB42"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AB15" i="21" s="1"/>
  <c r="U15" i="21"/>
  <c r="J17" i="21"/>
  <c r="W39" i="21"/>
  <c r="AC14" i="21"/>
  <c r="S46" i="21"/>
  <c r="H45" i="21"/>
  <c r="F29" i="21"/>
  <c r="AA29" i="21" s="1"/>
  <c r="F13" i="21"/>
  <c r="AA13" i="21" s="1"/>
  <c r="AC38" i="21"/>
  <c r="H32" i="21"/>
  <c r="H9" i="21"/>
  <c r="AB9" i="21" s="1"/>
  <c r="J32" i="21"/>
  <c r="W32" i="21" s="1"/>
  <c r="F32" i="21"/>
  <c r="AA32" i="21" s="1"/>
  <c r="AA31" i="21"/>
  <c r="W29" i="21"/>
  <c r="S19" i="21"/>
  <c r="S9" i="21"/>
  <c r="K141" i="21"/>
  <c r="K144" i="21"/>
  <c r="K143" i="21"/>
  <c r="U27" i="21"/>
  <c r="AB25" i="21"/>
  <c r="AB44" i="21"/>
  <c r="W13" i="21"/>
  <c r="W42" i="21"/>
  <c r="AC45" i="21"/>
  <c r="F10" i="21"/>
  <c r="AA10" i="21" s="1"/>
  <c r="K145" i="21"/>
  <c r="W25" i="21"/>
  <c r="W31" i="21"/>
  <c r="S27" i="21"/>
  <c r="S17" i="21"/>
  <c r="AA15" i="21"/>
  <c r="AC27" i="21"/>
  <c r="AC26" i="21"/>
  <c r="AB29" i="21"/>
  <c r="AC34" i="21"/>
  <c r="AB36" i="21"/>
  <c r="C19" i="39"/>
  <c r="C15" i="40"/>
  <c r="C17" i="40"/>
  <c r="C23" i="40"/>
  <c r="C21" i="40"/>
  <c r="B56" i="43"/>
  <c r="B67" i="43"/>
  <c r="B51" i="43"/>
  <c r="B54" i="43"/>
  <c r="B58" i="43"/>
  <c r="B62" i="43"/>
  <c r="B65" i="43"/>
  <c r="B69" i="43"/>
  <c r="D23" i="15"/>
  <c r="D22" i="15"/>
  <c r="E4" i="4"/>
  <c r="B5" i="62" s="1"/>
  <c r="B73" i="72" s="1"/>
  <c r="C4" i="4"/>
  <c r="F28" i="67"/>
  <c r="F32" i="67"/>
  <c r="F60" i="67" s="1"/>
  <c r="F30" i="69"/>
  <c r="F48" i="69" s="1"/>
  <c r="F28" i="15"/>
  <c r="S39" i="40"/>
  <c r="S12" i="33"/>
  <c r="AA12" i="33"/>
  <c r="J32" i="39"/>
  <c r="W32" i="39" s="1"/>
  <c r="H32" i="39"/>
  <c r="AB32" i="39" s="1"/>
  <c r="AA32" i="39"/>
  <c r="U21" i="39"/>
  <c r="AA21" i="39"/>
  <c r="S21" i="39"/>
  <c r="S17" i="37"/>
  <c r="J19" i="37"/>
  <c r="W19" i="37" s="1"/>
  <c r="G75" i="37"/>
  <c r="AA19"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AA25" i="33"/>
  <c r="G87" i="33"/>
  <c r="H87" i="33" s="1"/>
  <c r="I87" i="33" s="1"/>
  <c r="J87" i="33" s="1"/>
  <c r="K87" i="33" s="1"/>
  <c r="L87" i="33" s="1"/>
  <c r="M87" i="33" s="1"/>
  <c r="J25" i="33"/>
  <c r="U23" i="33"/>
  <c r="F23" i="33"/>
  <c r="AA19" i="33"/>
  <c r="H19" i="33"/>
  <c r="U19" i="33" s="1"/>
  <c r="H17" i="33"/>
  <c r="U17" i="33" s="1"/>
  <c r="F17" i="33"/>
  <c r="S17" i="33" s="1"/>
  <c r="AC17" i="33"/>
  <c r="S37" i="21"/>
  <c r="J23" i="21"/>
  <c r="F85" i="21"/>
  <c r="G85" i="21" s="1"/>
  <c r="H23" i="21"/>
  <c r="AP7" i="1"/>
  <c r="S32" i="21"/>
  <c r="U32" i="39"/>
  <c r="AC32" i="39"/>
  <c r="J11" i="37"/>
  <c r="AC11" i="37" s="1"/>
  <c r="J11" i="34"/>
  <c r="W11" i="34" s="1"/>
  <c r="W25" i="33"/>
  <c r="AC25" i="33"/>
  <c r="AC23" i="21"/>
  <c r="W23" i="21"/>
  <c r="H109" i="9"/>
  <c r="H112" i="9"/>
  <c r="D21" i="53" s="1"/>
  <c r="B39" i="72" s="1"/>
  <c r="H111" i="9"/>
  <c r="D126" i="9" s="1"/>
  <c r="AD3" i="71"/>
  <c r="J1" i="73"/>
  <c r="H69" i="43"/>
  <c r="G69" i="43" s="1"/>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F5" i="73"/>
  <c r="F6" i="73"/>
  <c r="B9" i="76"/>
  <c r="F7" i="73"/>
  <c r="B13" i="76"/>
  <c r="D6" i="73"/>
  <c r="AO13" i="1"/>
  <c r="F20" i="31"/>
  <c r="E10" i="76"/>
  <c r="F4" i="73"/>
  <c r="F6" i="15"/>
  <c r="M9" i="15"/>
  <c r="E11" i="76"/>
  <c r="F16" i="15"/>
  <c r="B12" i="76"/>
  <c r="F38" i="15"/>
  <c r="M6" i="15"/>
  <c r="F43" i="15"/>
  <c r="E12" i="76"/>
  <c r="B8" i="76"/>
  <c r="E2" i="69"/>
  <c r="L47" i="15"/>
  <c r="M23" i="15"/>
  <c r="M24" i="15"/>
  <c r="E9" i="76"/>
  <c r="B7" i="76"/>
  <c r="M29" i="15"/>
  <c r="E8" i="76"/>
  <c r="B11" i="76"/>
  <c r="F8" i="15"/>
  <c r="B10" i="76"/>
  <c r="F3" i="73"/>
  <c r="L48" i="15"/>
  <c r="E7" i="76"/>
  <c r="AZ522" i="3" l="1"/>
  <c r="BL513" i="3"/>
  <c r="W25" i="39"/>
  <c r="AC25" i="39"/>
  <c r="AB37" i="39"/>
  <c r="U37" i="39"/>
  <c r="AB17" i="21"/>
  <c r="U17" i="21"/>
  <c r="AC27" i="37"/>
  <c r="W27" i="37"/>
  <c r="AA13" i="39"/>
  <c r="S13" i="39"/>
  <c r="AA41" i="33"/>
  <c r="S41" i="33"/>
  <c r="AB19" i="39"/>
  <c r="U19" i="39"/>
  <c r="AZ554" i="3"/>
  <c r="AZ552" i="3"/>
  <c r="BL551" i="3"/>
  <c r="AZ530" i="3"/>
  <c r="AA23" i="37"/>
  <c r="W15" i="21"/>
  <c r="AC15" i="21"/>
  <c r="S34" i="33"/>
  <c r="AA34" i="33"/>
  <c r="W35" i="40"/>
  <c r="AA37" i="37"/>
  <c r="S37" i="37"/>
  <c r="AB24" i="35"/>
  <c r="U24" i="35"/>
  <c r="U41" i="34"/>
  <c r="AB41" i="34"/>
  <c r="S26" i="36"/>
  <c r="AA26" i="36"/>
  <c r="AZ556" i="3"/>
  <c r="AA27" i="39"/>
  <c r="S27" i="39"/>
  <c r="U27" i="39"/>
  <c r="AB27" i="39"/>
  <c r="AB22" i="35"/>
  <c r="U22" i="35"/>
  <c r="AA42" i="39"/>
  <c r="S42" i="39"/>
  <c r="AA11" i="40"/>
  <c r="S11" i="40"/>
  <c r="AC20" i="36"/>
  <c r="AB19" i="33"/>
  <c r="AB32" i="21"/>
  <c r="U32" i="21"/>
  <c r="U45" i="21"/>
  <c r="AB45" i="21"/>
  <c r="W17" i="21"/>
  <c r="AC17" i="21"/>
  <c r="W23" i="40"/>
  <c r="AB12" i="39"/>
  <c r="U12" i="39"/>
  <c r="W44" i="34"/>
  <c r="W45" i="34"/>
  <c r="AC45" i="34"/>
  <c r="AB29" i="34"/>
  <c r="U29" i="34"/>
  <c r="U37" i="37"/>
  <c r="AB37" i="37"/>
  <c r="AA11" i="36"/>
  <c r="S11" i="36"/>
  <c r="S33" i="35"/>
  <c r="AA33" i="35"/>
  <c r="U28" i="33"/>
  <c r="AB28" i="33"/>
  <c r="AA23" i="40"/>
  <c r="S23" i="40"/>
  <c r="AA33" i="36"/>
  <c r="S33" i="36"/>
  <c r="W30" i="35"/>
  <c r="AC30" i="35"/>
  <c r="AB23" i="21"/>
  <c r="U23" i="21"/>
  <c r="U30" i="40"/>
  <c r="U25" i="33"/>
  <c r="AB25" i="33"/>
  <c r="S42" i="33"/>
  <c r="W17" i="37"/>
  <c r="AC17" i="37"/>
  <c r="S43" i="39"/>
  <c r="AZ361" i="3"/>
  <c r="AZ318" i="3"/>
  <c r="S19" i="40"/>
  <c r="AA19" i="40"/>
  <c r="AB38" i="37"/>
  <c r="U38" i="37"/>
  <c r="W13" i="37"/>
  <c r="AC13" i="37"/>
  <c r="S25" i="36"/>
  <c r="AA25" i="36"/>
  <c r="U28" i="36"/>
  <c r="AB28" i="36"/>
  <c r="AA28" i="21"/>
  <c r="S28" i="21"/>
  <c r="AB15" i="33"/>
  <c r="U15" i="33"/>
  <c r="AA28" i="34"/>
  <c r="S28" i="34"/>
  <c r="S35" i="37"/>
  <c r="AA35" i="37"/>
  <c r="AC29" i="35"/>
  <c r="W29" i="35"/>
  <c r="AA23" i="35"/>
  <c r="S23" i="35"/>
  <c r="BA587" i="3"/>
  <c r="BA586" i="3"/>
  <c r="AZ586" i="3" s="1"/>
  <c r="BA585" i="3"/>
  <c r="J39" i="40"/>
  <c r="H39" i="40"/>
  <c r="AZ355" i="3"/>
  <c r="AZ325" i="3"/>
  <c r="AZ549" i="3"/>
  <c r="U26" i="37"/>
  <c r="AZ497" i="3"/>
  <c r="AZ505" i="3"/>
  <c r="AZ515" i="3"/>
  <c r="AZ561" i="3"/>
  <c r="AZ569" i="3"/>
  <c r="AZ496" i="3"/>
  <c r="AZ512" i="3"/>
  <c r="AZ528" i="3"/>
  <c r="BA548" i="3"/>
  <c r="AZ558" i="3"/>
  <c r="AZ536" i="3"/>
  <c r="AZ494" i="3"/>
  <c r="H11" i="36"/>
  <c r="U11" i="36" s="1"/>
  <c r="AC30" i="21"/>
  <c r="H28" i="21"/>
  <c r="U40" i="33"/>
  <c r="J28" i="34"/>
  <c r="U33" i="33"/>
  <c r="H23" i="36"/>
  <c r="F23" i="36"/>
  <c r="G551" i="3"/>
  <c r="G542" i="3"/>
  <c r="M69" i="43"/>
  <c r="N69" i="43" s="1"/>
  <c r="K69" i="43"/>
  <c r="J69" i="43" s="1"/>
  <c r="AC19" i="21"/>
  <c r="U32" i="37"/>
  <c r="AZ364" i="3"/>
  <c r="AZ337" i="3"/>
  <c r="AZ376" i="3"/>
  <c r="AZ309" i="3"/>
  <c r="M64" i="43"/>
  <c r="N64" i="43" s="1"/>
  <c r="K64" i="43"/>
  <c r="J64" i="43" s="1"/>
  <c r="AC12" i="37"/>
  <c r="F9" i="37"/>
  <c r="S9" i="37" s="1"/>
  <c r="AZ499" i="3"/>
  <c r="BL508" i="3"/>
  <c r="AZ508" i="3" s="1"/>
  <c r="BL511" i="3"/>
  <c r="AZ511" i="3" s="1"/>
  <c r="BL517" i="3"/>
  <c r="BL521" i="3"/>
  <c r="AZ521" i="3" s="1"/>
  <c r="BL525" i="3"/>
  <c r="AZ525" i="3" s="1"/>
  <c r="BL539" i="3"/>
  <c r="BL543" i="3"/>
  <c r="AZ543" i="3" s="1"/>
  <c r="BL553" i="3"/>
  <c r="AZ553" i="3" s="1"/>
  <c r="AZ577" i="3"/>
  <c r="AC28" i="21"/>
  <c r="F30" i="21"/>
  <c r="H14" i="21"/>
  <c r="S40" i="21"/>
  <c r="W39" i="33"/>
  <c r="U31" i="36"/>
  <c r="H25" i="37"/>
  <c r="J25" i="37"/>
  <c r="G566" i="3"/>
  <c r="AB36" i="33"/>
  <c r="D68" i="9"/>
  <c r="F31" i="12"/>
  <c r="J9" i="21"/>
  <c r="W9" i="21" s="1"/>
  <c r="W33" i="34"/>
  <c r="S20" i="36"/>
  <c r="AA38" i="21"/>
  <c r="S28" i="35"/>
  <c r="AB20" i="36"/>
  <c r="U25" i="39"/>
  <c r="AC14" i="35"/>
  <c r="AZ319" i="3"/>
  <c r="AZ347" i="3"/>
  <c r="AZ320" i="3"/>
  <c r="AZ304" i="3"/>
  <c r="S42" i="21"/>
  <c r="AA13" i="33"/>
  <c r="BL509" i="3"/>
  <c r="AZ509" i="3" s="1"/>
  <c r="BL519" i="3"/>
  <c r="AZ519" i="3" s="1"/>
  <c r="BL527" i="3"/>
  <c r="AZ527" i="3" s="1"/>
  <c r="AZ573" i="3"/>
  <c r="AZ503" i="3"/>
  <c r="AZ575" i="3"/>
  <c r="H30" i="21"/>
  <c r="F14" i="21"/>
  <c r="W33" i="33"/>
  <c r="AB41" i="21"/>
  <c r="G586" i="3"/>
  <c r="BL399" i="3"/>
  <c r="G400" i="3"/>
  <c r="G403" i="3"/>
  <c r="BL408" i="3"/>
  <c r="BL416" i="3"/>
  <c r="G417" i="3"/>
  <c r="BL417" i="3"/>
  <c r="BL418" i="3"/>
  <c r="BL420" i="3"/>
  <c r="G422" i="3"/>
  <c r="BL427" i="3"/>
  <c r="G429" i="3"/>
  <c r="G430" i="3"/>
  <c r="BL433" i="3"/>
  <c r="BL434" i="3"/>
  <c r="G436" i="3"/>
  <c r="G437" i="3"/>
  <c r="BA443" i="3"/>
  <c r="BL447" i="3"/>
  <c r="BL451" i="3"/>
  <c r="BA455" i="3"/>
  <c r="AZ455" i="3" s="1"/>
  <c r="G457" i="3"/>
  <c r="BA458" i="3"/>
  <c r="BA462" i="3"/>
  <c r="AZ462" i="3" s="1"/>
  <c r="G465" i="3"/>
  <c r="G466" i="3"/>
  <c r="BA466" i="3"/>
  <c r="BL469" i="3"/>
  <c r="BA473" i="3"/>
  <c r="BL473" i="3"/>
  <c r="BL474" i="3"/>
  <c r="G475" i="3"/>
  <c r="G481" i="3"/>
  <c r="BA482" i="3"/>
  <c r="BA484" i="3"/>
  <c r="AZ484" i="3" s="1"/>
  <c r="G486" i="3"/>
  <c r="BL487" i="3"/>
  <c r="BL490" i="3"/>
  <c r="G491" i="3"/>
  <c r="BL308" i="3"/>
  <c r="AZ308" i="3" s="1"/>
  <c r="BA319" i="3"/>
  <c r="G351" i="3"/>
  <c r="G380" i="3"/>
  <c r="BA392" i="3"/>
  <c r="AZ392" i="3" s="1"/>
  <c r="BL208" i="3"/>
  <c r="G210" i="3"/>
  <c r="G216" i="3"/>
  <c r="BL222" i="3"/>
  <c r="BL223" i="3"/>
  <c r="G224" i="3"/>
  <c r="G226" i="3"/>
  <c r="BA233" i="3"/>
  <c r="AZ233" i="3" s="1"/>
  <c r="BL235" i="3"/>
  <c r="BL236" i="3"/>
  <c r="G237" i="3"/>
  <c r="BL242" i="3"/>
  <c r="BL243" i="3"/>
  <c r="G244" i="3"/>
  <c r="G249" i="3"/>
  <c r="BA250" i="3"/>
  <c r="BL252" i="3"/>
  <c r="G253" i="3"/>
  <c r="T60" i="71"/>
  <c r="D60" i="71"/>
  <c r="A24" i="51"/>
  <c r="B18" i="72" s="1"/>
  <c r="AZ402" i="3"/>
  <c r="AZ413" i="3"/>
  <c r="AZ451" i="3"/>
  <c r="G570" i="3"/>
  <c r="G560" i="3"/>
  <c r="G536" i="3"/>
  <c r="G528" i="3"/>
  <c r="G514" i="3"/>
  <c r="G500" i="3"/>
  <c r="A15" i="62"/>
  <c r="B61" i="72" s="1"/>
  <c r="G398" i="3"/>
  <c r="G399" i="3"/>
  <c r="BA400" i="3"/>
  <c r="BA406" i="3"/>
  <c r="AZ406" i="3" s="1"/>
  <c r="BL409" i="3"/>
  <c r="BL413" i="3"/>
  <c r="G415" i="3"/>
  <c r="G416" i="3"/>
  <c r="BL423" i="3"/>
  <c r="G426" i="3"/>
  <c r="G431" i="3"/>
  <c r="BL440" i="3"/>
  <c r="G444" i="3"/>
  <c r="G449" i="3"/>
  <c r="BL449" i="3"/>
  <c r="G454" i="3"/>
  <c r="G455" i="3"/>
  <c r="BA456" i="3"/>
  <c r="G459" i="3"/>
  <c r="G463" i="3"/>
  <c r="G464" i="3"/>
  <c r="BA464" i="3"/>
  <c r="G467" i="3"/>
  <c r="BL467" i="3"/>
  <c r="BL468" i="3"/>
  <c r="BA470" i="3"/>
  <c r="BL470" i="3"/>
  <c r="G472" i="3"/>
  <c r="G478" i="3"/>
  <c r="BA485" i="3"/>
  <c r="G488" i="3"/>
  <c r="G489" i="3"/>
  <c r="G311" i="3"/>
  <c r="BL314" i="3"/>
  <c r="AZ314" i="3" s="1"/>
  <c r="G315" i="3"/>
  <c r="BL340" i="3"/>
  <c r="AZ340" i="3" s="1"/>
  <c r="G392" i="3"/>
  <c r="BL395" i="3"/>
  <c r="G397" i="3"/>
  <c r="BL211" i="3"/>
  <c r="G213" i="3"/>
  <c r="BA217" i="3"/>
  <c r="G220" i="3"/>
  <c r="G227" i="3"/>
  <c r="BA229" i="3"/>
  <c r="AZ229" i="3" s="1"/>
  <c r="BL229" i="3"/>
  <c r="BA231" i="3"/>
  <c r="BL231" i="3"/>
  <c r="G233" i="3"/>
  <c r="G241" i="3"/>
  <c r="BA248" i="3"/>
  <c r="G251" i="3"/>
  <c r="BL254" i="3"/>
  <c r="G256" i="3"/>
  <c r="BA257" i="3"/>
  <c r="G260" i="3"/>
  <c r="G266" i="3"/>
  <c r="G270" i="3"/>
  <c r="BC5" i="3"/>
  <c r="BL400" i="3"/>
  <c r="BL412" i="3"/>
  <c r="BA419" i="3"/>
  <c r="BA420" i="3"/>
  <c r="BA422" i="3"/>
  <c r="BL430" i="3"/>
  <c r="BL438" i="3"/>
  <c r="BL439" i="3"/>
  <c r="BL443" i="3"/>
  <c r="BL458" i="3"/>
  <c r="BL462" i="3"/>
  <c r="BL488" i="3"/>
  <c r="BA303" i="3"/>
  <c r="AZ303" i="3" s="1"/>
  <c r="BA307" i="3"/>
  <c r="AZ307" i="3" s="1"/>
  <c r="BA332" i="3"/>
  <c r="BL332" i="3"/>
  <c r="BL350" i="3"/>
  <c r="BL359" i="3"/>
  <c r="AZ359" i="3" s="1"/>
  <c r="BA367" i="3"/>
  <c r="AZ367" i="3" s="1"/>
  <c r="BA370" i="3"/>
  <c r="AZ370" i="3" s="1"/>
  <c r="BA214" i="3"/>
  <c r="BA216" i="3"/>
  <c r="AZ216" i="3" s="1"/>
  <c r="BL219" i="3"/>
  <c r="BL224" i="3"/>
  <c r="BA228" i="3"/>
  <c r="BL230" i="3"/>
  <c r="BA235" i="3"/>
  <c r="AZ235" i="3" s="1"/>
  <c r="BL237" i="3"/>
  <c r="BL238" i="3"/>
  <c r="BA247" i="3"/>
  <c r="AZ247" i="3" s="1"/>
  <c r="BL247" i="3"/>
  <c r="BA251" i="3"/>
  <c r="AZ251" i="3" s="1"/>
  <c r="BL251" i="3"/>
  <c r="BL262" i="3"/>
  <c r="BL263" i="3"/>
  <c r="BL272" i="3"/>
  <c r="BL275" i="3"/>
  <c r="G277" i="3"/>
  <c r="G284" i="3"/>
  <c r="BL285" i="3"/>
  <c r="G292" i="3"/>
  <c r="BA294" i="3"/>
  <c r="G297" i="3"/>
  <c r="G302" i="3"/>
  <c r="G134" i="3"/>
  <c r="G136" i="3"/>
  <c r="G144" i="3"/>
  <c r="BA146" i="3"/>
  <c r="BA150" i="3"/>
  <c r="BL158" i="3"/>
  <c r="G159" i="3"/>
  <c r="G167" i="3"/>
  <c r="BA168" i="3"/>
  <c r="AZ168" i="3" s="1"/>
  <c r="G172" i="3"/>
  <c r="BL175" i="3"/>
  <c r="AZ175" i="3" s="1"/>
  <c r="G176" i="3"/>
  <c r="G182" i="3"/>
  <c r="BL186" i="3"/>
  <c r="G198" i="3"/>
  <c r="G206" i="3"/>
  <c r="G19" i="3"/>
  <c r="BL23" i="3"/>
  <c r="BA25" i="3"/>
  <c r="G31" i="3"/>
  <c r="BL35" i="3"/>
  <c r="BA40" i="3"/>
  <c r="G44" i="3"/>
  <c r="BA55" i="3"/>
  <c r="AZ55" i="3" s="1"/>
  <c r="G59" i="3"/>
  <c r="G63" i="3"/>
  <c r="G64" i="3"/>
  <c r="BA64" i="3"/>
  <c r="BA68" i="3"/>
  <c r="BA72" i="3"/>
  <c r="BL74" i="3"/>
  <c r="G75" i="3"/>
  <c r="BL75" i="3"/>
  <c r="G98" i="3"/>
  <c r="G102" i="3"/>
  <c r="G103" i="3"/>
  <c r="BA103" i="3"/>
  <c r="BA110" i="3"/>
  <c r="AZ110" i="3" s="1"/>
  <c r="W21" i="21"/>
  <c r="AC21" i="37"/>
  <c r="AB27" i="71"/>
  <c r="AA28" i="71"/>
  <c r="Q68" i="71"/>
  <c r="U68" i="71"/>
  <c r="C43" i="71"/>
  <c r="C44" i="71" s="1"/>
  <c r="B28" i="71"/>
  <c r="B27" i="71" s="1"/>
  <c r="B26" i="71" s="1"/>
  <c r="C35" i="71"/>
  <c r="E38" i="71"/>
  <c r="E39" i="71" s="1"/>
  <c r="E40" i="71" s="1"/>
  <c r="U40" i="71" s="1"/>
  <c r="Y37" i="71"/>
  <c r="Z37" i="71" s="1"/>
  <c r="BL260" i="3"/>
  <c r="G262" i="3"/>
  <c r="G268" i="3"/>
  <c r="BA272" i="3"/>
  <c r="AZ272" i="3" s="1"/>
  <c r="BA275" i="3"/>
  <c r="AZ275" i="3" s="1"/>
  <c r="BL278" i="3"/>
  <c r="G280" i="3"/>
  <c r="G286" i="3"/>
  <c r="G287" i="3"/>
  <c r="BL287" i="3"/>
  <c r="G291" i="3"/>
  <c r="BA291" i="3"/>
  <c r="G295" i="3"/>
  <c r="BL298" i="3"/>
  <c r="BL299" i="3"/>
  <c r="G300" i="3"/>
  <c r="G127" i="3"/>
  <c r="G130" i="3"/>
  <c r="BA134" i="3"/>
  <c r="BL146" i="3"/>
  <c r="G147" i="3"/>
  <c r="BA148" i="3"/>
  <c r="AZ148" i="3" s="1"/>
  <c r="BL154" i="3"/>
  <c r="G155" i="3"/>
  <c r="BL161" i="3"/>
  <c r="BA162" i="3"/>
  <c r="BL169" i="3"/>
  <c r="G174" i="3"/>
  <c r="G184" i="3"/>
  <c r="BA185" i="3"/>
  <c r="G188" i="3"/>
  <c r="BA189" i="3"/>
  <c r="BL191" i="3"/>
  <c r="AZ191" i="3" s="1"/>
  <c r="G192" i="3"/>
  <c r="BA193" i="3"/>
  <c r="BL195" i="3"/>
  <c r="AZ195" i="3" s="1"/>
  <c r="G202" i="3"/>
  <c r="G203" i="3"/>
  <c r="BA205" i="3"/>
  <c r="AZ205" i="3" s="1"/>
  <c r="G18" i="3"/>
  <c r="BA22" i="3"/>
  <c r="G26" i="3"/>
  <c r="BA30" i="3"/>
  <c r="G34" i="3"/>
  <c r="G41" i="3"/>
  <c r="BA47" i="3"/>
  <c r="G52" i="3"/>
  <c r="BL54" i="3"/>
  <c r="BA70" i="3"/>
  <c r="BA80" i="3"/>
  <c r="G84" i="3"/>
  <c r="BL84" i="3"/>
  <c r="BA91" i="3"/>
  <c r="AZ91" i="3" s="1"/>
  <c r="BL93" i="3"/>
  <c r="G95" i="3"/>
  <c r="BL99" i="3"/>
  <c r="BL103" i="3"/>
  <c r="G104" i="3"/>
  <c r="G105" i="3"/>
  <c r="Y25" i="71"/>
  <c r="Z25" i="71" s="1"/>
  <c r="C31" i="71"/>
  <c r="AB34" i="71"/>
  <c r="C63" i="71"/>
  <c r="B67" i="71"/>
  <c r="B75" i="71"/>
  <c r="B74" i="71" s="1"/>
  <c r="BL270" i="3"/>
  <c r="AZ270" i="3" s="1"/>
  <c r="G273" i="3"/>
  <c r="BA286" i="3"/>
  <c r="G289" i="3"/>
  <c r="BA301" i="3"/>
  <c r="BA126" i="3"/>
  <c r="BL178" i="3"/>
  <c r="BA180" i="3"/>
  <c r="AZ180" i="3" s="1"/>
  <c r="BL182" i="3"/>
  <c r="BA188" i="3"/>
  <c r="AZ188" i="3" s="1"/>
  <c r="BA196" i="3"/>
  <c r="AZ196" i="3" s="1"/>
  <c r="BA207" i="3"/>
  <c r="BL20" i="3"/>
  <c r="BA21" i="3"/>
  <c r="BL24" i="3"/>
  <c r="BA26" i="3"/>
  <c r="BL28" i="3"/>
  <c r="BA29" i="3"/>
  <c r="BA33" i="3"/>
  <c r="BL44" i="3"/>
  <c r="BL47" i="3"/>
  <c r="BA65" i="3"/>
  <c r="BA73" i="3"/>
  <c r="BL76" i="3"/>
  <c r="BL86" i="3"/>
  <c r="BA88" i="3"/>
  <c r="F3" i="35"/>
  <c r="S21" i="33"/>
  <c r="B43" i="71"/>
  <c r="B44" i="71" s="1"/>
  <c r="S44" i="71" s="1"/>
  <c r="V68" i="71"/>
  <c r="F71" i="71"/>
  <c r="F70" i="71" s="1"/>
  <c r="G26" i="12"/>
  <c r="G22" i="68"/>
  <c r="G22" i="69"/>
  <c r="F34" i="15"/>
  <c r="F62" i="15" s="1"/>
  <c r="M20" i="67"/>
  <c r="F34" i="67"/>
  <c r="F62" i="67" s="1"/>
  <c r="M18" i="15"/>
  <c r="M18" i="67"/>
  <c r="F30" i="11"/>
  <c r="C48" i="11" s="1"/>
  <c r="F54" i="9"/>
  <c r="F32" i="15"/>
  <c r="F60" i="15" s="1"/>
  <c r="F52" i="9"/>
  <c r="F30" i="68"/>
  <c r="F48" i="68" s="1"/>
  <c r="C40" i="68"/>
  <c r="C21" i="68"/>
  <c r="G1" i="67"/>
  <c r="K1" i="12"/>
  <c r="G1" i="69"/>
  <c r="G1" i="68"/>
  <c r="H5" i="3"/>
  <c r="B68" i="43"/>
  <c r="B57" i="43"/>
  <c r="B77" i="43"/>
  <c r="B13" i="53"/>
  <c r="B29" i="72" s="1"/>
  <c r="U19" i="40"/>
  <c r="AB19" i="40"/>
  <c r="G521" i="3"/>
  <c r="AC5" i="3"/>
  <c r="AZ513" i="3"/>
  <c r="AC47" i="34"/>
  <c r="W47" i="34"/>
  <c r="AB13" i="36"/>
  <c r="U13" i="36"/>
  <c r="U30" i="21"/>
  <c r="AB30" i="21"/>
  <c r="AA23" i="21"/>
  <c r="AA17" i="33"/>
  <c r="D6" i="52"/>
  <c r="AB27" i="33"/>
  <c r="AB14" i="39"/>
  <c r="U14" i="39"/>
  <c r="AC44" i="21"/>
  <c r="W44" i="21"/>
  <c r="AC31" i="40"/>
  <c r="W31" i="40"/>
  <c r="AC27" i="33"/>
  <c r="AC23" i="37"/>
  <c r="AC9" i="21"/>
  <c r="U9" i="21"/>
  <c r="S13" i="21"/>
  <c r="AZ520" i="3"/>
  <c r="AC39" i="34"/>
  <c r="S32" i="37"/>
  <c r="AZ334" i="3"/>
  <c r="AZ327" i="3"/>
  <c r="AA14" i="37"/>
  <c r="S14" i="37"/>
  <c r="AA44" i="39"/>
  <c r="S44" i="39"/>
  <c r="AZ357" i="3"/>
  <c r="AZ313" i="3"/>
  <c r="AZ394" i="3"/>
  <c r="AZ531" i="3"/>
  <c r="AZ583" i="3"/>
  <c r="AZ540" i="3"/>
  <c r="W31" i="34"/>
  <c r="AC11" i="35"/>
  <c r="U17" i="34"/>
  <c r="W8" i="40"/>
  <c r="H9" i="33"/>
  <c r="F9" i="33"/>
  <c r="AA9" i="33" s="1"/>
  <c r="F12" i="35"/>
  <c r="J12" i="35"/>
  <c r="J12" i="36"/>
  <c r="F12" i="36"/>
  <c r="H12" i="36"/>
  <c r="F32" i="36"/>
  <c r="H32" i="36"/>
  <c r="H45" i="39"/>
  <c r="J45" i="39"/>
  <c r="W45" i="39" s="1"/>
  <c r="AB38" i="40"/>
  <c r="U38" i="40"/>
  <c r="G552" i="3"/>
  <c r="BL544" i="3"/>
  <c r="AZ544" i="3" s="1"/>
  <c r="BL542" i="3"/>
  <c r="AZ542" i="3" s="1"/>
  <c r="BL532" i="3"/>
  <c r="AZ532" i="3" s="1"/>
  <c r="BL526" i="3"/>
  <c r="AZ526" i="3" s="1"/>
  <c r="BL524" i="3"/>
  <c r="AZ524" i="3" s="1"/>
  <c r="BL506" i="3"/>
  <c r="AZ506" i="3" s="1"/>
  <c r="BL504" i="3"/>
  <c r="AZ504" i="3" s="1"/>
  <c r="AZ523" i="3"/>
  <c r="AZ547" i="3"/>
  <c r="AZ571" i="3"/>
  <c r="AZ579" i="3"/>
  <c r="AZ516" i="3"/>
  <c r="AZ502" i="3"/>
  <c r="S14" i="34"/>
  <c r="AA14" i="34"/>
  <c r="C25" i="39"/>
  <c r="B97" i="43"/>
  <c r="B75" i="43"/>
  <c r="AB35" i="33"/>
  <c r="U35" i="33"/>
  <c r="W27" i="35"/>
  <c r="U39" i="40"/>
  <c r="AB39" i="40"/>
  <c r="BL580" i="3"/>
  <c r="AZ580" i="3" s="1"/>
  <c r="BA576" i="3"/>
  <c r="AZ576" i="3" s="1"/>
  <c r="BA568" i="3"/>
  <c r="AZ568" i="3" s="1"/>
  <c r="BL566" i="3"/>
  <c r="BL564" i="3"/>
  <c r="AZ564" i="3" s="1"/>
  <c r="BA560" i="3"/>
  <c r="AZ560" i="3" s="1"/>
  <c r="AZ387" i="3"/>
  <c r="AZ362" i="3"/>
  <c r="AZ338" i="3"/>
  <c r="AZ390" i="3"/>
  <c r="AZ371" i="3"/>
  <c r="AZ351" i="3"/>
  <c r="AZ336" i="3"/>
  <c r="AZ305" i="3"/>
  <c r="AZ360" i="3"/>
  <c r="AZ539" i="3"/>
  <c r="AZ529" i="3"/>
  <c r="AZ537" i="3"/>
  <c r="AZ546" i="3"/>
  <c r="AZ566" i="3"/>
  <c r="J25" i="36"/>
  <c r="J44" i="33"/>
  <c r="H14" i="33"/>
  <c r="F45" i="21"/>
  <c r="U34" i="35"/>
  <c r="B79" i="43"/>
  <c r="J9" i="33"/>
  <c r="J26" i="33"/>
  <c r="F26" i="33"/>
  <c r="H26" i="33"/>
  <c r="AC9" i="34"/>
  <c r="W9" i="34"/>
  <c r="H12" i="35"/>
  <c r="AC22" i="35"/>
  <c r="W22" i="35"/>
  <c r="J24" i="36"/>
  <c r="H24" i="36"/>
  <c r="F24" i="36"/>
  <c r="AB30" i="37"/>
  <c r="U30" i="37"/>
  <c r="AA31" i="35"/>
  <c r="S31" i="35"/>
  <c r="BL582" i="3"/>
  <c r="AZ582" i="3" s="1"/>
  <c r="G582" i="3"/>
  <c r="G574" i="3"/>
  <c r="AZ419" i="3"/>
  <c r="BL587" i="3"/>
  <c r="AZ587" i="3" s="1"/>
  <c r="AA38" i="33"/>
  <c r="S38" i="33"/>
  <c r="S44" i="33"/>
  <c r="AA44" i="33"/>
  <c r="AC28" i="36"/>
  <c r="W28" i="36"/>
  <c r="H34" i="36"/>
  <c r="J34" i="36"/>
  <c r="W34" i="36" s="1"/>
  <c r="J39" i="37"/>
  <c r="H39" i="37"/>
  <c r="F39" i="37"/>
  <c r="S39" i="37" s="1"/>
  <c r="H44" i="39"/>
  <c r="J44" i="39"/>
  <c r="U30" i="36"/>
  <c r="AB30" i="36"/>
  <c r="BA584" i="3"/>
  <c r="AZ584" i="3" s="1"/>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AZ460" i="3" s="1"/>
  <c r="BA461" i="3"/>
  <c r="BA463" i="3"/>
  <c r="BA465" i="3"/>
  <c r="AZ465" i="3" s="1"/>
  <c r="BA469" i="3"/>
  <c r="AZ469" i="3" s="1"/>
  <c r="AZ487" i="3"/>
  <c r="G587" i="3"/>
  <c r="F25" i="37"/>
  <c r="BA551" i="3"/>
  <c r="AZ551" i="3" s="1"/>
  <c r="BA550" i="3"/>
  <c r="BL548" i="3"/>
  <c r="AZ548" i="3" s="1"/>
  <c r="BA401" i="3"/>
  <c r="AZ401" i="3" s="1"/>
  <c r="BA403" i="3"/>
  <c r="BA404" i="3"/>
  <c r="BA405" i="3"/>
  <c r="BL410" i="3"/>
  <c r="G412" i="3"/>
  <c r="G418" i="3"/>
  <c r="AZ444" i="3"/>
  <c r="BL450" i="3"/>
  <c r="BL452" i="3"/>
  <c r="BL456" i="3"/>
  <c r="BL585" i="3"/>
  <c r="AZ585" i="3" s="1"/>
  <c r="G558" i="3"/>
  <c r="G423" i="3"/>
  <c r="BL424" i="3"/>
  <c r="G427" i="3"/>
  <c r="BL428" i="3"/>
  <c r="BL429" i="3"/>
  <c r="BL432" i="3"/>
  <c r="BL435" i="3"/>
  <c r="BL436" i="3"/>
  <c r="BA439" i="3"/>
  <c r="BA440" i="3"/>
  <c r="AZ440" i="3" s="1"/>
  <c r="BA442" i="3"/>
  <c r="BA445" i="3"/>
  <c r="BA447" i="3"/>
  <c r="AZ447" i="3" s="1"/>
  <c r="BA449" i="3"/>
  <c r="BL453" i="3"/>
  <c r="BL454" i="3"/>
  <c r="G458" i="3"/>
  <c r="BL459" i="3"/>
  <c r="G461" i="3"/>
  <c r="G462" i="3"/>
  <c r="BL463" i="3"/>
  <c r="BA467" i="3"/>
  <c r="BA468" i="3"/>
  <c r="G470" i="3"/>
  <c r="BL550" i="3"/>
  <c r="BL398" i="3"/>
  <c r="G402" i="3"/>
  <c r="BL403" i="3"/>
  <c r="G406" i="3"/>
  <c r="BA408" i="3"/>
  <c r="AZ408" i="3" s="1"/>
  <c r="BA409" i="3"/>
  <c r="AZ409" i="3" s="1"/>
  <c r="BA411" i="3"/>
  <c r="AZ411" i="3" s="1"/>
  <c r="BL414" i="3"/>
  <c r="BL415" i="3"/>
  <c r="BA417" i="3"/>
  <c r="AZ417" i="3" s="1"/>
  <c r="BL421" i="3"/>
  <c r="BL422" i="3"/>
  <c r="AZ422" i="3" s="1"/>
  <c r="BL425" i="3"/>
  <c r="BL426" i="3"/>
  <c r="BA428" i="3"/>
  <c r="BA429" i="3"/>
  <c r="BA430" i="3"/>
  <c r="AZ430" i="3" s="1"/>
  <c r="BA432" i="3"/>
  <c r="AZ432" i="3" s="1"/>
  <c r="BA434" i="3"/>
  <c r="BA436" i="3"/>
  <c r="BA438" i="3"/>
  <c r="G443" i="3"/>
  <c r="BA446" i="3"/>
  <c r="BA450" i="3"/>
  <c r="BA453" i="3"/>
  <c r="BL461"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L289" i="3"/>
  <c r="G290" i="3"/>
  <c r="BL292" i="3"/>
  <c r="BA116" i="3"/>
  <c r="AZ116" i="3" s="1"/>
  <c r="BA121" i="3"/>
  <c r="BL121" i="3"/>
  <c r="BA125" i="3"/>
  <c r="G128" i="3"/>
  <c r="BA129" i="3"/>
  <c r="BL133" i="3"/>
  <c r="AZ133" i="3" s="1"/>
  <c r="BL134" i="3"/>
  <c r="BA471"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BL274" i="3"/>
  <c r="BA276" i="3"/>
  <c r="BA279" i="3"/>
  <c r="BA281" i="3"/>
  <c r="BL286" i="3"/>
  <c r="AZ286" i="3" s="1"/>
  <c r="BA296" i="3"/>
  <c r="C55" i="71"/>
  <c r="D54" i="71"/>
  <c r="BL464" i="3"/>
  <c r="AZ464" i="3" s="1"/>
  <c r="BL466" i="3"/>
  <c r="AZ466" i="3" s="1"/>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A290" i="3"/>
  <c r="G294" i="3"/>
  <c r="BL295" i="3"/>
  <c r="BA298" i="3"/>
  <c r="AZ298" i="3" s="1"/>
  <c r="BL301" i="3"/>
  <c r="AZ301" i="3" s="1"/>
  <c r="BL302" i="3"/>
  <c r="BA114" i="3"/>
  <c r="BL122" i="3"/>
  <c r="BL123" i="3"/>
  <c r="AZ123" i="3" s="1"/>
  <c r="BL139" i="3"/>
  <c r="AZ139" i="3" s="1"/>
  <c r="G140" i="3"/>
  <c r="BL141" i="3"/>
  <c r="BL143" i="3"/>
  <c r="AZ143" i="3" s="1"/>
  <c r="G146" i="3"/>
  <c r="G150" i="3"/>
  <c r="BL163" i="3"/>
  <c r="AZ163" i="3" s="1"/>
  <c r="AZ480" i="3"/>
  <c r="BL113" i="3"/>
  <c r="G163" i="3"/>
  <c r="AB21" i="37"/>
  <c r="U21" i="37"/>
  <c r="P65" i="71"/>
  <c r="P66" i="71"/>
  <c r="C36" i="71"/>
  <c r="D35" i="71"/>
  <c r="S80" i="71"/>
  <c r="B79" i="71"/>
  <c r="B78" i="71" s="1"/>
  <c r="V24" i="71"/>
  <c r="E23" i="71"/>
  <c r="E22" i="71" s="1"/>
  <c r="E21" i="71" s="1"/>
  <c r="E20" i="71" s="1"/>
  <c r="AA3" i="71"/>
  <c r="BL115" i="3"/>
  <c r="AZ115" i="3" s="1"/>
  <c r="BA118" i="3"/>
  <c r="BL118" i="3"/>
  <c r="BA122" i="3"/>
  <c r="BL125" i="3"/>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A51" i="3"/>
  <c r="G55" i="3"/>
  <c r="BL56" i="3"/>
  <c r="BA58" i="3"/>
  <c r="BL59" i="3"/>
  <c r="AZ59" i="3" s="1"/>
  <c r="BL60" i="3"/>
  <c r="BA61" i="3"/>
  <c r="AZ61" i="3" s="1"/>
  <c r="BL69" i="3"/>
  <c r="BL70" i="3"/>
  <c r="AZ70" i="3" s="1"/>
  <c r="BL71" i="3"/>
  <c r="BL72" i="3"/>
  <c r="AZ72" i="3" s="1"/>
  <c r="BA75" i="3"/>
  <c r="AZ75" i="3" s="1"/>
  <c r="BA89" i="3"/>
  <c r="BA98" i="3"/>
  <c r="U21" i="33"/>
  <c r="AB21" i="33"/>
  <c r="C52" i="71"/>
  <c r="D51" i="71"/>
  <c r="Y29" i="71"/>
  <c r="Z29" i="71" s="1"/>
  <c r="F66" i="71"/>
  <c r="Q67" i="71"/>
  <c r="X25" i="71"/>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L64" i="3"/>
  <c r="AZ64" i="3" s="1"/>
  <c r="G65" i="3"/>
  <c r="BL65" i="3"/>
  <c r="AZ65" i="3" s="1"/>
  <c r="BL66" i="3"/>
  <c r="BL67" i="3"/>
  <c r="AZ67" i="3" s="1"/>
  <c r="G69" i="3"/>
  <c r="G72" i="3"/>
  <c r="BL73" i="3"/>
  <c r="BA74" i="3"/>
  <c r="AZ74" i="3" s="1"/>
  <c r="BL79" i="3"/>
  <c r="BL81" i="3"/>
  <c r="BA82" i="3"/>
  <c r="AZ82" i="3" s="1"/>
  <c r="BL83" i="3"/>
  <c r="G86" i="3"/>
  <c r="BA87" i="3"/>
  <c r="BL101" i="3"/>
  <c r="BL102" i="3"/>
  <c r="BA109" i="3"/>
  <c r="C47" i="71"/>
  <c r="D47" i="71" s="1"/>
  <c r="D46" i="71"/>
  <c r="C67" i="71"/>
  <c r="T68" i="71"/>
  <c r="O68" i="71"/>
  <c r="T76" i="71"/>
  <c r="D76" i="71"/>
  <c r="C75" i="71"/>
  <c r="Y27" i="71"/>
  <c r="Z27" i="71" s="1"/>
  <c r="Y26" i="71"/>
  <c r="Z26" i="71" s="1"/>
  <c r="C23" i="71"/>
  <c r="B22" i="71"/>
  <c r="B21" i="71" s="1"/>
  <c r="B20" i="71" s="1"/>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G51" i="3"/>
  <c r="BA52" i="3"/>
  <c r="AZ52" i="3" s="1"/>
  <c r="BA53" i="3"/>
  <c r="BA54" i="3"/>
  <c r="BL57" i="3"/>
  <c r="G62" i="3"/>
  <c r="BL62" i="3"/>
  <c r="AZ62" i="3" s="1"/>
  <c r="BL63" i="3"/>
  <c r="BL68" i="3"/>
  <c r="BA69" i="3"/>
  <c r="AZ69" i="3" s="1"/>
  <c r="G78" i="3"/>
  <c r="G79" i="3"/>
  <c r="G85" i="3"/>
  <c r="BL85" i="3"/>
  <c r="BA86" i="3"/>
  <c r="AZ86" i="3" s="1"/>
  <c r="G89" i="3"/>
  <c r="BA92" i="3"/>
  <c r="BL96" i="3"/>
  <c r="BL97" i="3"/>
  <c r="AZ97" i="3" s="1"/>
  <c r="AZ103"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G87"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G67" i="43" s="1"/>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4"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15"/>
  <c r="F71" i="15"/>
  <c r="L59" i="15"/>
  <c r="N59" i="15"/>
  <c r="L58" i="15"/>
  <c r="M59" i="15"/>
  <c r="F66" i="15"/>
  <c r="B13" i="70"/>
  <c r="C36" i="68"/>
  <c r="D9" i="69"/>
  <c r="C36" i="69"/>
  <c r="D9" i="68"/>
  <c r="M28" i="15"/>
  <c r="M8" i="67"/>
  <c r="M23" i="67"/>
  <c r="F26" i="67"/>
  <c r="F37" i="15"/>
  <c r="F37" i="67"/>
  <c r="M6" i="67"/>
  <c r="F9" i="15"/>
  <c r="F42" i="67"/>
  <c r="F13" i="15"/>
  <c r="M22" i="15"/>
  <c r="F7" i="15"/>
  <c r="L48" i="67"/>
  <c r="L47" i="67"/>
  <c r="F8" i="67"/>
  <c r="M29" i="67"/>
  <c r="C76" i="67"/>
  <c r="F16" i="67"/>
  <c r="F6" i="67"/>
  <c r="D4" i="73"/>
  <c r="F9" i="67"/>
  <c r="C76" i="15"/>
  <c r="J15" i="67"/>
  <c r="M26" i="67"/>
  <c r="F36" i="15"/>
  <c r="F43" i="67"/>
  <c r="F26" i="15"/>
  <c r="F7" i="67"/>
  <c r="F42" i="15"/>
  <c r="M9" i="67"/>
  <c r="F36" i="67"/>
  <c r="F38" i="67"/>
  <c r="F40" i="67"/>
  <c r="D7" i="73"/>
  <c r="F40" i="15"/>
  <c r="M22" i="67"/>
  <c r="D3" i="73"/>
  <c r="J15" i="15"/>
  <c r="M26" i="15"/>
  <c r="M28" i="67"/>
  <c r="C16" i="15"/>
  <c r="D5" i="73"/>
  <c r="M8" i="15"/>
  <c r="F13" i="67"/>
  <c r="M24" i="67"/>
  <c r="M68" i="43" l="1"/>
  <c r="N68" i="43" s="1"/>
  <c r="K68" i="43"/>
  <c r="J68" i="43" s="1"/>
  <c r="D68" i="43" s="1"/>
  <c r="M61" i="43"/>
  <c r="N61" i="43" s="1"/>
  <c r="K61" i="43"/>
  <c r="J61" i="43" s="1"/>
  <c r="AZ111" i="3"/>
  <c r="AZ121" i="3"/>
  <c r="AB25" i="37"/>
  <c r="U25" i="37"/>
  <c r="U14" i="21"/>
  <c r="AB14" i="21"/>
  <c r="W28" i="34"/>
  <c r="AC28" i="34"/>
  <c r="M66" i="43"/>
  <c r="N66" i="43" s="1"/>
  <c r="K66" i="43"/>
  <c r="M63" i="43"/>
  <c r="N63" i="43" s="1"/>
  <c r="K63" i="43"/>
  <c r="M67" i="43"/>
  <c r="N67" i="43" s="1"/>
  <c r="K67" i="43"/>
  <c r="AZ122" i="3"/>
  <c r="AZ459" i="3"/>
  <c r="AZ421" i="3"/>
  <c r="AZ414" i="3"/>
  <c r="AZ47" i="3"/>
  <c r="AZ146" i="3"/>
  <c r="AZ458" i="3"/>
  <c r="S30" i="21"/>
  <c r="AA30" i="21"/>
  <c r="AA23" i="36"/>
  <c r="S23" i="36"/>
  <c r="M65" i="43"/>
  <c r="K65" i="43"/>
  <c r="J65" i="43" s="1"/>
  <c r="M62" i="43"/>
  <c r="N62" i="43" s="1"/>
  <c r="K62" i="43"/>
  <c r="AZ57" i="3"/>
  <c r="AZ130" i="3"/>
  <c r="AZ453" i="3"/>
  <c r="AZ405" i="3"/>
  <c r="D31" i="71"/>
  <c r="C32" i="71"/>
  <c r="AZ400" i="3"/>
  <c r="AZ443" i="3"/>
  <c r="AB23" i="36"/>
  <c r="U23" i="36"/>
  <c r="AB28" i="21"/>
  <c r="U28" i="21"/>
  <c r="AC39" i="40"/>
  <c r="W39" i="40"/>
  <c r="N67" i="71"/>
  <c r="B66" i="71"/>
  <c r="D44" i="71"/>
  <c r="T44" i="71"/>
  <c r="AZ332" i="3"/>
  <c r="AZ473" i="3"/>
  <c r="S14" i="21"/>
  <c r="AA14" i="21"/>
  <c r="AC25" i="37"/>
  <c r="W25" i="37"/>
  <c r="Q16" i="1"/>
  <c r="F27" i="69" s="1"/>
  <c r="C47" i="69" s="1"/>
  <c r="D45" i="69" s="1"/>
  <c r="F66" i="67"/>
  <c r="L58" i="67"/>
  <c r="Q73" i="67" s="1"/>
  <c r="N59" i="67"/>
  <c r="M59" i="67"/>
  <c r="L59" i="67"/>
  <c r="Q61" i="67" s="1"/>
  <c r="J53" i="67"/>
  <c r="F1" i="67" s="1"/>
  <c r="L56" i="67"/>
  <c r="I54" i="67"/>
  <c r="J57" i="67"/>
  <c r="J55" i="67" s="1"/>
  <c r="J58" i="67" s="1"/>
  <c r="Q50" i="67" s="1"/>
  <c r="C27" i="67"/>
  <c r="Q71" i="67"/>
  <c r="F50" i="67"/>
  <c r="M7" i="67"/>
  <c r="J6" i="67" s="1"/>
  <c r="J18" i="67" s="1"/>
  <c r="F71" i="67"/>
  <c r="C6" i="67"/>
  <c r="C32" i="67" s="1"/>
  <c r="F51" i="67"/>
  <c r="F68" i="67"/>
  <c r="F65" i="67"/>
  <c r="F64" i="67"/>
  <c r="H16" i="1"/>
  <c r="K16" i="1"/>
  <c r="P6" i="1"/>
  <c r="C13" i="12" s="1"/>
  <c r="F31" i="15"/>
  <c r="M7" i="15"/>
  <c r="J6" i="15" s="1"/>
  <c r="J18" i="15" s="1"/>
  <c r="C6" i="15"/>
  <c r="C32" i="15" s="1"/>
  <c r="F50" i="15"/>
  <c r="F59" i="15" s="1"/>
  <c r="Q71" i="15"/>
  <c r="C27" i="15"/>
  <c r="F65" i="15"/>
  <c r="F68" i="15"/>
  <c r="F64" i="15"/>
  <c r="J7" i="36"/>
  <c r="C70" i="71"/>
  <c r="D70" i="71" s="1"/>
  <c r="D71" i="71"/>
  <c r="C26" i="71"/>
  <c r="D26" i="71" s="1"/>
  <c r="D27" i="71"/>
  <c r="AZ297" i="3"/>
  <c r="AZ273" i="3"/>
  <c r="AZ471" i="3"/>
  <c r="AZ241" i="3"/>
  <c r="AZ210" i="3"/>
  <c r="AZ491" i="3"/>
  <c r="AZ429" i="3"/>
  <c r="AZ404" i="3"/>
  <c r="AZ550" i="3"/>
  <c r="AZ461" i="3"/>
  <c r="AZ454" i="3"/>
  <c r="AZ435" i="3"/>
  <c r="AZ425" i="3"/>
  <c r="AB44" i="39"/>
  <c r="U44" i="39"/>
  <c r="AC9" i="33"/>
  <c r="W9" i="33"/>
  <c r="U14" i="33"/>
  <c r="AB14" i="33"/>
  <c r="AA32" i="36"/>
  <c r="S32" i="36"/>
  <c r="W12" i="35"/>
  <c r="AC12" i="35"/>
  <c r="J7" i="37"/>
  <c r="G5" i="3"/>
  <c r="B3" i="3" s="1"/>
  <c r="E64" i="3" s="1"/>
  <c r="D79" i="71"/>
  <c r="C78" i="71"/>
  <c r="D78" i="71" s="1"/>
  <c r="AZ53" i="3"/>
  <c r="AZ45" i="3"/>
  <c r="B19" i="71"/>
  <c r="B18" i="71" s="1"/>
  <c r="B17" i="71" s="1"/>
  <c r="B16" i="71" s="1"/>
  <c r="B15" i="71" s="1"/>
  <c r="B14" i="71" s="1"/>
  <c r="B13" i="71" s="1"/>
  <c r="B12" i="71" s="1"/>
  <c r="S20" i="71"/>
  <c r="D75" i="71"/>
  <c r="C74" i="71"/>
  <c r="D74" i="71" s="1"/>
  <c r="AZ49" i="3"/>
  <c r="T52" i="71"/>
  <c r="D52" i="71"/>
  <c r="AZ51" i="3"/>
  <c r="AZ41" i="3"/>
  <c r="AZ31" i="3"/>
  <c r="C56" i="71"/>
  <c r="D55" i="71"/>
  <c r="AZ274" i="3"/>
  <c r="AZ368" i="3"/>
  <c r="AZ353" i="3"/>
  <c r="AZ125" i="3"/>
  <c r="AZ277" i="3"/>
  <c r="AZ256" i="3"/>
  <c r="AZ428" i="3"/>
  <c r="AZ403" i="3"/>
  <c r="AZ415" i="3"/>
  <c r="AZ398" i="3"/>
  <c r="U34" i="36"/>
  <c r="AB34" i="36"/>
  <c r="AA24" i="36"/>
  <c r="S24" i="36"/>
  <c r="U26" i="33"/>
  <c r="AB26" i="33"/>
  <c r="AC44" i="33"/>
  <c r="W44" i="33"/>
  <c r="AB12" i="36"/>
  <c r="U12" i="36"/>
  <c r="D83" i="71"/>
  <c r="C82" i="71"/>
  <c r="D82" i="71" s="1"/>
  <c r="D23" i="71"/>
  <c r="C22" i="71"/>
  <c r="D67" i="71"/>
  <c r="C66" i="71"/>
  <c r="O67" i="71"/>
  <c r="AZ58" i="3"/>
  <c r="AA25" i="37"/>
  <c r="S25" i="37"/>
  <c r="AB39" i="37"/>
  <c r="U39" i="37"/>
  <c r="AB24" i="36"/>
  <c r="U24" i="36"/>
  <c r="U12" i="35"/>
  <c r="AB12" i="35"/>
  <c r="S26" i="33"/>
  <c r="AA26" i="33"/>
  <c r="W25" i="36"/>
  <c r="AC25" i="36"/>
  <c r="U45" i="39"/>
  <c r="AB45" i="39"/>
  <c r="AA12" i="36"/>
  <c r="S12" i="36"/>
  <c r="C40" i="71"/>
  <c r="D39" i="71"/>
  <c r="AZ282" i="3"/>
  <c r="AZ27" i="3"/>
  <c r="AZ118" i="3"/>
  <c r="AZ271" i="3"/>
  <c r="AC44" i="39"/>
  <c r="W44" i="39"/>
  <c r="AC39" i="37"/>
  <c r="W39" i="37"/>
  <c r="AC24" i="36"/>
  <c r="W24" i="36"/>
  <c r="W26" i="33"/>
  <c r="AC26" i="33"/>
  <c r="AA45" i="21"/>
  <c r="S45" i="21"/>
  <c r="AB32" i="36"/>
  <c r="U32" i="36"/>
  <c r="AC12" i="36"/>
  <c r="W12" i="36"/>
  <c r="AB9" i="33"/>
  <c r="U9" i="33"/>
  <c r="K1" i="73"/>
  <c r="AA26" i="37"/>
  <c r="S26" i="37"/>
  <c r="BA5" i="3"/>
  <c r="E27" i="6" s="1"/>
  <c r="K26" i="6" s="1"/>
  <c r="M26" i="6" s="1"/>
  <c r="I26" i="6" s="1"/>
  <c r="S26" i="6" s="1"/>
  <c r="W40" i="40"/>
  <c r="AC40" i="40"/>
  <c r="AC12" i="21"/>
  <c r="W12" i="21"/>
  <c r="AB12" i="21"/>
  <c r="U12" i="21"/>
  <c r="AA27" i="34"/>
  <c r="S27" i="34"/>
  <c r="AC26" i="37"/>
  <c r="W26" i="37"/>
  <c r="BL5" i="3"/>
  <c r="F7" i="36"/>
  <c r="H7" i="36"/>
  <c r="U7" i="36" s="1"/>
  <c r="AA9" i="36"/>
  <c r="S9" i="36"/>
  <c r="AA34" i="35"/>
  <c r="S34" i="35"/>
  <c r="E15" i="71"/>
  <c r="E14" i="71" s="1"/>
  <c r="E13" i="71" s="1"/>
  <c r="E12" i="71" s="1"/>
  <c r="V16" i="71"/>
  <c r="S40" i="40"/>
  <c r="AA40" i="40"/>
  <c r="AC34" i="35"/>
  <c r="W34" i="35"/>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AC7" i="37"/>
  <c r="W7" i="37"/>
  <c r="F7" i="33"/>
  <c r="E58" i="21"/>
  <c r="AC7" i="36"/>
  <c r="V36" i="36" s="1"/>
  <c r="I36" i="36" s="1"/>
  <c r="W7" i="36"/>
  <c r="F7" i="37"/>
  <c r="M17" i="67"/>
  <c r="M17" i="15"/>
  <c r="P28" i="43"/>
  <c r="B66" i="40" s="1"/>
  <c r="P25" i="43"/>
  <c r="P29" i="43"/>
  <c r="P27" i="43"/>
  <c r="B70" i="39" s="1"/>
  <c r="M11" i="67"/>
  <c r="J10" i="67" s="1"/>
  <c r="F11" i="15"/>
  <c r="M11" i="15"/>
  <c r="F11" i="67"/>
  <c r="F1" i="15"/>
  <c r="Q52" i="15"/>
  <c r="Q60" i="15"/>
  <c r="Q73" i="15"/>
  <c r="Q74" i="15"/>
  <c r="Q61" i="15"/>
  <c r="AE11" i="1"/>
  <c r="AE9" i="1"/>
  <c r="F27" i="68"/>
  <c r="AE7" i="1"/>
  <c r="AE8" i="1"/>
  <c r="AE12" i="1"/>
  <c r="AE10" i="1"/>
  <c r="C16" i="67"/>
  <c r="F41" i="67"/>
  <c r="G1" i="73"/>
  <c r="AE6" i="1"/>
  <c r="F45" i="69" l="1"/>
  <c r="C29" i="69"/>
  <c r="D27" i="69" s="1"/>
  <c r="J63" i="43"/>
  <c r="D63" i="43"/>
  <c r="AZ5" i="3"/>
  <c r="T32" i="71"/>
  <c r="D32" i="71"/>
  <c r="N65" i="71"/>
  <c r="N66" i="71"/>
  <c r="N65" i="43"/>
  <c r="D65" i="43"/>
  <c r="J67" i="43"/>
  <c r="D67" i="43"/>
  <c r="J66" i="43"/>
  <c r="D66" i="43"/>
  <c r="J62" i="43"/>
  <c r="D62" i="43"/>
  <c r="E61" i="43" s="1"/>
  <c r="B59" i="43" s="1"/>
  <c r="C28" i="43" s="1"/>
  <c r="C49" i="67"/>
  <c r="J5" i="67"/>
  <c r="J24" i="67" s="1"/>
  <c r="Q60" i="67"/>
  <c r="J10" i="15"/>
  <c r="J5" i="15" s="1"/>
  <c r="J24" i="15" s="1"/>
  <c r="Q74" i="67"/>
  <c r="Q52" i="67"/>
  <c r="E139" i="3"/>
  <c r="E94" i="3"/>
  <c r="E483" i="3"/>
  <c r="E100" i="3"/>
  <c r="AI6" i="3"/>
  <c r="E172" i="3"/>
  <c r="AB6" i="3"/>
  <c r="E322" i="3"/>
  <c r="E454" i="3"/>
  <c r="E185" i="3"/>
  <c r="E477" i="3"/>
  <c r="E453" i="3"/>
  <c r="E366" i="3"/>
  <c r="I6" i="3"/>
  <c r="E285" i="3"/>
  <c r="E87" i="3"/>
  <c r="E446" i="3"/>
  <c r="E62" i="3"/>
  <c r="E276" i="3"/>
  <c r="E232" i="3"/>
  <c r="E510" i="3"/>
  <c r="E242" i="3"/>
  <c r="E119" i="3"/>
  <c r="X6" i="3"/>
  <c r="E423" i="3"/>
  <c r="E161" i="3"/>
  <c r="E563" i="3"/>
  <c r="E215" i="3"/>
  <c r="M6" i="3"/>
  <c r="E201" i="3"/>
  <c r="E109" i="3"/>
  <c r="E327" i="3"/>
  <c r="E465" i="3"/>
  <c r="E495" i="3"/>
  <c r="E439" i="3"/>
  <c r="E441" i="3"/>
  <c r="E585" i="3"/>
  <c r="E562" i="3"/>
  <c r="E293" i="3"/>
  <c r="E320" i="3"/>
  <c r="E295" i="3"/>
  <c r="E256" i="3"/>
  <c r="E280" i="3"/>
  <c r="E319" i="3"/>
  <c r="E537" i="3"/>
  <c r="E163" i="3"/>
  <c r="E244" i="3"/>
  <c r="E112" i="3"/>
  <c r="E401" i="3"/>
  <c r="E356" i="3"/>
  <c r="E233" i="3"/>
  <c r="E369" i="3"/>
  <c r="E240" i="3"/>
  <c r="E132" i="3"/>
  <c r="E135" i="3"/>
  <c r="E189" i="3"/>
  <c r="E311" i="3"/>
  <c r="E400" i="3"/>
  <c r="E77" i="3"/>
  <c r="E305" i="3"/>
  <c r="E72" i="3"/>
  <c r="E114" i="3"/>
  <c r="E128" i="3"/>
  <c r="E14" i="3"/>
  <c r="AL6" i="3"/>
  <c r="E118" i="3"/>
  <c r="E142" i="3"/>
  <c r="E219" i="3"/>
  <c r="E275" i="3"/>
  <c r="E148" i="3"/>
  <c r="E246" i="3"/>
  <c r="E263" i="3"/>
  <c r="E535" i="3"/>
  <c r="E278" i="3"/>
  <c r="E335" i="3"/>
  <c r="E570" i="3"/>
  <c r="E247" i="3"/>
  <c r="E211" i="3"/>
  <c r="E227" i="3"/>
  <c r="K6" i="3"/>
  <c r="E134" i="3"/>
  <c r="E533" i="3"/>
  <c r="E210" i="3"/>
  <c r="E549" i="3"/>
  <c r="E573" i="3"/>
  <c r="E245" i="3"/>
  <c r="E358" i="3"/>
  <c r="E444" i="3"/>
  <c r="E429" i="3"/>
  <c r="E302" i="3"/>
  <c r="E92" i="3"/>
  <c r="E224" i="3"/>
  <c r="E584" i="3"/>
  <c r="E58" i="3"/>
  <c r="E234" i="3"/>
  <c r="E422" i="3"/>
  <c r="E408" i="3"/>
  <c r="E536" i="3"/>
  <c r="E539" i="3"/>
  <c r="E541" i="3"/>
  <c r="E479" i="3"/>
  <c r="E349" i="3"/>
  <c r="E46" i="3"/>
  <c r="E492" i="3"/>
  <c r="E355" i="3"/>
  <c r="E513" i="3"/>
  <c r="E42" i="3"/>
  <c r="E383" i="3"/>
  <c r="E113" i="3"/>
  <c r="E525" i="3"/>
  <c r="E451" i="3"/>
  <c r="E26" i="3"/>
  <c r="E428" i="3"/>
  <c r="E324" i="3"/>
  <c r="E80" i="3"/>
  <c r="E16"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499" i="3"/>
  <c r="AP6" i="3"/>
  <c r="E192" i="3"/>
  <c r="E484" i="3"/>
  <c r="E249" i="3"/>
  <c r="E33" i="3"/>
  <c r="E81" i="3"/>
  <c r="E281" i="3"/>
  <c r="E96" i="3"/>
  <c r="E206" i="3"/>
  <c r="E205" i="3"/>
  <c r="E456" i="3"/>
  <c r="E13" i="3"/>
  <c r="E225" i="3"/>
  <c r="E190" i="3"/>
  <c r="E49" i="3"/>
  <c r="E326"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286" i="3"/>
  <c r="E152" i="3"/>
  <c r="E267" i="3"/>
  <c r="E63" i="3"/>
  <c r="E18" i="3"/>
  <c r="E22" i="3"/>
  <c r="E497" i="3"/>
  <c r="E412" i="3"/>
  <c r="E158"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AA6" i="3"/>
  <c r="E262" i="3"/>
  <c r="E481" i="3"/>
  <c r="E496" i="3"/>
  <c r="E274" i="3"/>
  <c r="E252" i="3"/>
  <c r="P6" i="3"/>
  <c r="E404" i="3"/>
  <c r="E334" i="3"/>
  <c r="E553" i="3"/>
  <c r="E56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466" i="3"/>
  <c r="E363" i="3"/>
  <c r="E310" i="3"/>
  <c r="E309" i="3"/>
  <c r="E235" i="3"/>
  <c r="E173" i="3"/>
  <c r="E420" i="3"/>
  <c r="E220" i="3"/>
  <c r="E329"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156" i="3"/>
  <c r="E177" i="3"/>
  <c r="E424" i="3"/>
  <c r="E55" i="3"/>
  <c r="E580" i="3"/>
  <c r="E164" i="3"/>
  <c r="E443" i="3"/>
  <c r="E121" i="3"/>
  <c r="E30" i="3"/>
  <c r="E282"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I3" i="6"/>
  <c r="E59" i="3"/>
  <c r="E67" i="3"/>
  <c r="E198" i="3"/>
  <c r="E34" i="3"/>
  <c r="E405" i="3"/>
  <c r="E115" i="3"/>
  <c r="E35" i="3"/>
  <c r="E188"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434" i="3"/>
  <c r="E330" i="3"/>
  <c r="E344" i="3"/>
  <c r="E203" i="3"/>
  <c r="E32" i="3"/>
  <c r="E576" i="3"/>
  <c r="E581" i="3"/>
  <c r="E166" i="3"/>
  <c r="E480" i="3"/>
  <c r="E239"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78" i="3"/>
  <c r="E248" i="3"/>
  <c r="E131" i="3"/>
  <c r="E487" i="3"/>
  <c r="E296" i="3"/>
  <c r="E200" i="3"/>
  <c r="E385" i="3"/>
  <c r="E191" i="3"/>
  <c r="E445" i="3"/>
  <c r="E69" i="3"/>
  <c r="E387" i="3"/>
  <c r="E514" i="3"/>
  <c r="E431" i="3"/>
  <c r="E489" i="3"/>
  <c r="E214" i="3"/>
  <c r="AK6" i="3"/>
  <c r="E361" i="3"/>
  <c r="E410" i="3"/>
  <c r="E447" i="3"/>
  <c r="E351" i="3"/>
  <c r="E99" i="3"/>
  <c r="E550" i="3"/>
  <c r="E516" i="3"/>
  <c r="E448" i="3"/>
  <c r="Q6" i="3"/>
  <c r="E321" i="3"/>
  <c r="E411" i="3"/>
  <c r="E127" i="3"/>
  <c r="E149" i="3"/>
  <c r="E141" i="3"/>
  <c r="E473" i="3"/>
  <c r="E105" i="3"/>
  <c r="E102" i="3"/>
  <c r="E491" i="3"/>
  <c r="E41" i="3"/>
  <c r="E470" i="3"/>
  <c r="E556" i="3"/>
  <c r="E512" i="3"/>
  <c r="T6" i="3"/>
  <c r="E197" i="3"/>
  <c r="E308" i="3"/>
  <c r="AF6" i="3"/>
  <c r="E86" i="3"/>
  <c r="E174" i="3"/>
  <c r="E482" i="3"/>
  <c r="E391" i="3"/>
  <c r="E494" i="3"/>
  <c r="E283" i="3"/>
  <c r="E68" i="3"/>
  <c r="E184" i="3"/>
  <c r="E84" i="3"/>
  <c r="E371" i="3"/>
  <c r="E160" i="3"/>
  <c r="E467" i="3"/>
  <c r="E76" i="3"/>
  <c r="E292" i="3"/>
  <c r="E37" i="3"/>
  <c r="E435" i="3"/>
  <c r="E255" i="3"/>
  <c r="E502" i="3"/>
  <c r="E199"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544" i="3"/>
  <c r="E258" i="3"/>
  <c r="E56" i="3"/>
  <c r="E517" i="3"/>
  <c r="E430" i="3"/>
  <c r="R6" i="3"/>
  <c r="E212" i="3"/>
  <c r="AB7" i="36"/>
  <c r="T36" i="36" s="1"/>
  <c r="G36" i="36" s="1"/>
  <c r="AY6" i="3"/>
  <c r="AY529" i="3" s="1"/>
  <c r="E3" i="6"/>
  <c r="D22" i="71"/>
  <c r="C21" i="71"/>
  <c r="T40" i="71"/>
  <c r="D40" i="71"/>
  <c r="C49" i="15"/>
  <c r="C53" i="15" s="1"/>
  <c r="S16" i="71"/>
  <c r="D56" i="71"/>
  <c r="T56" i="71"/>
  <c r="R36" i="36"/>
  <c r="R37" i="36" s="1"/>
  <c r="E409" i="3"/>
  <c r="E389" i="3"/>
  <c r="E241" i="3"/>
  <c r="E95" i="3"/>
  <c r="E417" i="3"/>
  <c r="E554" i="3"/>
  <c r="E449" i="3"/>
  <c r="E442" i="3"/>
  <c r="E575"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411" i="3"/>
  <c r="AY93" i="3"/>
  <c r="AY345" i="3"/>
  <c r="BA6" i="3"/>
  <c r="AY548" i="3"/>
  <c r="AY474"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10" i="15"/>
  <c r="C5" i="15" s="1"/>
  <c r="C38" i="15" s="1"/>
  <c r="F41" i="15"/>
  <c r="M27" i="67"/>
  <c r="M27" i="15"/>
  <c r="F24" i="67" l="1"/>
  <c r="C24" i="67" s="1"/>
  <c r="AY521" i="3"/>
  <c r="AY416" i="3"/>
  <c r="AY580" i="3"/>
  <c r="AY165" i="3"/>
  <c r="AY79" i="3"/>
  <c r="AY517" i="3"/>
  <c r="AY84" i="3"/>
  <c r="AY183" i="3"/>
  <c r="AY568" i="3"/>
  <c r="AY305" i="3"/>
  <c r="AY421" i="3"/>
  <c r="AY385" i="3"/>
  <c r="AY119" i="3"/>
  <c r="AY264" i="3"/>
  <c r="AY423" i="3"/>
  <c r="AY37" i="3"/>
  <c r="AY161" i="3"/>
  <c r="AY112" i="3"/>
  <c r="AY355" i="3"/>
  <c r="AY202" i="3"/>
  <c r="AY463" i="3"/>
  <c r="AY155" i="3"/>
  <c r="AY257" i="3"/>
  <c r="AY505" i="3"/>
  <c r="AY175" i="3"/>
  <c r="AY418" i="3"/>
  <c r="AY367" i="3"/>
  <c r="AY314" i="3"/>
  <c r="AY502" i="3"/>
  <c r="AY282" i="3"/>
  <c r="AY324" i="3"/>
  <c r="AY116" i="3"/>
  <c r="AY182" i="3"/>
  <c r="AY333" i="3"/>
  <c r="AY92" i="3"/>
  <c r="AY268" i="3"/>
  <c r="AY394" i="3"/>
  <c r="AY174" i="3"/>
  <c r="AY296" i="3"/>
  <c r="AY498" i="3"/>
  <c r="AY70" i="3"/>
  <c r="AY187" i="3"/>
  <c r="AY484" i="3"/>
  <c r="AY514" i="3"/>
  <c r="AY373" i="3"/>
  <c r="AY454" i="3"/>
  <c r="AY18" i="3"/>
  <c r="AY21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56" i="3"/>
  <c r="AY534" i="3"/>
  <c r="AY425" i="3"/>
  <c r="AY481" i="3"/>
  <c r="AY89" i="3"/>
  <c r="AY36" i="3"/>
  <c r="AY302" i="3"/>
  <c r="AY222" i="3"/>
  <c r="AY40" i="3"/>
  <c r="AY279" i="3"/>
  <c r="AY467" i="3"/>
  <c r="AY435" i="3"/>
  <c r="AY508" i="3"/>
  <c r="AY49" i="3"/>
  <c r="AY31" i="3"/>
  <c r="AY497" i="3"/>
  <c r="AY212" i="3"/>
  <c r="AY573" i="3"/>
  <c r="AY100" i="3"/>
  <c r="AY173" i="3"/>
  <c r="AY28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166" i="3"/>
  <c r="AY295" i="3"/>
  <c r="AY242" i="3"/>
  <c r="AY353" i="3"/>
  <c r="AY348" i="3"/>
  <c r="AY475" i="3"/>
  <c r="AY462" i="3"/>
  <c r="AY398" i="3"/>
  <c r="BQ6" i="3"/>
  <c r="AY495" i="3"/>
  <c r="AY501" i="3"/>
  <c r="AY90" i="3"/>
  <c r="AY387" i="3"/>
  <c r="AY244" i="3"/>
  <c r="AY562" i="3"/>
  <c r="AY146" i="3"/>
  <c r="BS6" i="3"/>
  <c r="AY356" i="3"/>
  <c r="BN6" i="3"/>
  <c r="AY577" i="3"/>
  <c r="AY350" i="3"/>
  <c r="AY478" i="3"/>
  <c r="AY20" i="3"/>
  <c r="AY22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07" i="3"/>
  <c r="AY200" i="3"/>
  <c r="AY451" i="3"/>
  <c r="AY151" i="3"/>
  <c r="AY551" i="3"/>
  <c r="AY445" i="3"/>
  <c r="AY250" i="3"/>
  <c r="AY583" i="3"/>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38" i="3"/>
  <c r="AY215" i="3"/>
  <c r="AY88" i="3"/>
  <c r="AY134" i="3"/>
  <c r="AY417" i="3"/>
  <c r="AY147" i="3"/>
  <c r="AY518" i="3"/>
  <c r="AY226" i="3"/>
  <c r="AY239" i="3"/>
  <c r="BO6" i="3"/>
  <c r="AY486" i="3"/>
  <c r="AY571" i="3"/>
  <c r="AY472" i="3"/>
  <c r="AY259" i="3"/>
  <c r="BH6" i="3"/>
  <c r="AY278" i="3"/>
  <c r="AY33" i="3"/>
  <c r="AY544" i="3"/>
  <c r="AY217" i="3"/>
  <c r="AY319" i="3"/>
  <c r="AY103" i="3"/>
  <c r="AY131" i="3"/>
  <c r="AY83"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C14" i="74" s="1"/>
  <c r="AY410" i="3"/>
  <c r="AY487" i="3"/>
  <c r="AY369" i="3"/>
  <c r="AY129" i="3"/>
  <c r="AY80" i="3"/>
  <c r="AY584" i="3"/>
  <c r="AY419" i="3"/>
  <c r="AY341" i="3"/>
  <c r="AY29" i="3"/>
  <c r="AY270" i="3"/>
  <c r="AY539" i="3"/>
  <c r="AY455" i="3"/>
  <c r="AY556" i="3"/>
  <c r="AY340" i="3"/>
  <c r="AY389" i="3"/>
  <c r="AY53" i="3"/>
  <c r="AY199" i="3"/>
  <c r="BG6" i="3"/>
  <c r="AY430" i="3"/>
  <c r="AY388" i="3"/>
  <c r="AY73" i="3"/>
  <c r="AY262" i="3"/>
  <c r="AY185" i="3"/>
  <c r="BE6" i="3"/>
  <c r="AY327" i="3"/>
  <c r="AY460" i="3"/>
  <c r="AY160" i="3"/>
  <c r="AY58" i="3"/>
  <c r="AY23"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193" i="3"/>
  <c r="AY343" i="3"/>
  <c r="AY191" i="3"/>
  <c r="AY525" i="3"/>
  <c r="AY150" i="3"/>
  <c r="AY126" i="3"/>
  <c r="AY404" i="3"/>
  <c r="AY75" i="3"/>
  <c r="AY585" i="3"/>
  <c r="AY316" i="3"/>
  <c r="AY145" i="3"/>
  <c r="AY374" i="3"/>
  <c r="AY125" i="3"/>
  <c r="AY76" i="3"/>
  <c r="AY401" i="3"/>
  <c r="AY300" i="3"/>
  <c r="AY284" i="3"/>
  <c r="AY371" i="3"/>
  <c r="AY59" i="3"/>
  <c r="AC6" i="3"/>
  <c r="H6" i="3"/>
  <c r="C48" i="15"/>
  <c r="C66" i="15" s="1"/>
  <c r="E36" i="36"/>
  <c r="F22" i="68"/>
  <c r="F41" i="68" s="1"/>
  <c r="F25" i="12"/>
  <c r="C26" i="12" s="1"/>
  <c r="D25" i="12" s="1"/>
  <c r="E49" i="34"/>
  <c r="I54" i="34" s="1"/>
  <c r="J54" i="34" s="1"/>
  <c r="D21" i="71"/>
  <c r="C20" i="71"/>
  <c r="F24" i="15"/>
  <c r="C24" i="15" s="1"/>
  <c r="F22" i="69"/>
  <c r="F41" i="69" s="1"/>
  <c r="F22" i="11"/>
  <c r="C23" i="11"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44" i="68"/>
  <c r="D41" i="68" s="1"/>
  <c r="C66" i="67"/>
  <c r="C60" i="67"/>
  <c r="D10" i="69"/>
  <c r="C34" i="69"/>
  <c r="D10" i="68"/>
  <c r="C14" i="67"/>
  <c r="C17" i="67"/>
  <c r="C17" i="15"/>
  <c r="D30" i="6" l="1"/>
  <c r="H24" i="6"/>
  <c r="C24" i="11"/>
  <c r="C60" i="15"/>
  <c r="H22" i="6"/>
  <c r="H25" i="6"/>
  <c r="R25" i="6" s="1"/>
  <c r="R12" i="1" s="1"/>
  <c r="E6" i="3"/>
  <c r="C25" i="11"/>
  <c r="C26" i="11"/>
  <c r="D22" i="11" s="1"/>
  <c r="C44" i="11"/>
  <c r="D41" i="11" s="1"/>
  <c r="C26" i="68"/>
  <c r="D22" i="68" s="1"/>
  <c r="D20" i="71"/>
  <c r="U20" i="71" s="1"/>
  <c r="T20" i="71"/>
  <c r="C19" i="71"/>
  <c r="C44" i="69"/>
  <c r="D41" i="69" s="1"/>
  <c r="E54" i="34"/>
  <c r="F54" i="34"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18" i="12"/>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F26" i="43" l="1"/>
  <c r="E26" i="43"/>
  <c r="N370" i="46"/>
  <c r="B116" i="43"/>
  <c r="Z7" i="43"/>
  <c r="G26" i="43"/>
  <c r="J26" i="43"/>
  <c r="H26" i="43"/>
  <c r="D26" i="43" s="1"/>
  <c r="C25" i="43" s="1"/>
  <c r="N94" i="46"/>
  <c r="C21" i="12"/>
  <c r="C22" i="12"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3" i="43" l="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C118" i="43" l="1"/>
  <c r="D116" i="43"/>
  <c r="E33" i="43"/>
  <c r="C30" i="43" s="1"/>
  <c r="C34" i="43"/>
  <c r="E34" i="43" s="1"/>
  <c r="C31" i="43"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6" i="76"/>
  <c r="E2" i="76" l="1"/>
  <c r="B2" i="43"/>
  <c r="U16" i="71"/>
  <c r="M23" i="43"/>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B2" i="76" l="1"/>
  <c r="B3" i="76" s="1"/>
  <c r="B3" i="43"/>
  <c r="C6" i="68"/>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7" i="68" l="1"/>
  <c r="C5" i="68" s="1"/>
  <c r="C12" i="71"/>
  <c r="D13" i="7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4"/>
  <c r="D2" i="36"/>
  <c r="D2" i="35"/>
  <c r="L51" i="15"/>
  <c r="D2" i="37"/>
  <c r="C23" i="68" l="1"/>
  <c r="C20" i="68"/>
  <c r="C46" i="15"/>
  <c r="C44" i="15"/>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E2" i="68"/>
  <c r="AO10" i="1"/>
  <c r="AO8" i="1"/>
  <c r="AO9" i="1"/>
  <c r="AO11" i="1"/>
  <c r="AO7" i="1"/>
  <c r="AO12" i="1"/>
  <c r="C28" i="68" l="1"/>
  <c r="C27" i="68" s="1"/>
  <c r="C25" i="68"/>
  <c r="C22" i="68" s="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31" i="68" l="1"/>
  <c r="C52" i="68" s="1"/>
  <c r="C57" i="68" s="1"/>
  <c r="C56" i="68" s="1"/>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D103" i="9"/>
  <c r="D9" i="71"/>
  <c r="C8" i="71"/>
  <c r="C42" i="40"/>
  <c r="C43" i="40"/>
  <c r="E47" i="40"/>
  <c r="F47" i="40" s="1"/>
  <c r="E46" i="40"/>
  <c r="F46" i="40" s="1"/>
  <c r="I47" i="40"/>
  <c r="J47" i="40" s="1"/>
  <c r="C19" i="9"/>
  <c r="G19" i="9" l="1"/>
  <c r="G21" i="9" s="1"/>
  <c r="D22" i="9"/>
  <c r="C102" i="9"/>
  <c r="C21" i="9"/>
  <c r="B3" i="68"/>
  <c r="C32"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20" i="9"/>
  <c r="C103" i="9" l="1"/>
  <c r="G20" i="9"/>
  <c r="C35" i="9"/>
  <c r="C34" i="9" s="1"/>
  <c r="D7" i="71"/>
  <c r="C6" i="71"/>
  <c r="D6" i="71" l="1"/>
  <c r="C5" i="71"/>
  <c r="D5" i="71" s="1"/>
  <c r="M24" i="43" s="1"/>
  <c r="D118" i="9"/>
  <c r="D119" i="9" s="1"/>
  <c r="D5" i="52" s="1"/>
  <c r="B49" i="72" s="1"/>
  <c r="F118" i="9"/>
  <c r="G118" i="9" s="1"/>
  <c r="G4" i="52" s="1"/>
  <c r="B52" i="72" s="1"/>
  <c r="H118" i="9"/>
  <c r="H101" i="9" s="1"/>
  <c r="D14" i="74" s="1"/>
  <c r="G14" i="74" s="1"/>
  <c r="B6" i="74" s="1"/>
  <c r="D6" i="74" s="1"/>
  <c r="B5" i="74" l="1"/>
  <c r="D5" i="74" s="1"/>
  <c r="E14" i="74"/>
  <c r="F14" i="74"/>
  <c r="H4" i="52"/>
  <c r="F4" i="52"/>
  <c r="B51" i="72" s="1"/>
  <c r="F119" i="9"/>
  <c r="F5" i="52" s="1"/>
  <c r="B53" i="72" s="1"/>
  <c r="D4" i="52"/>
  <c r="B47" i="72" s="1"/>
  <c r="H119" i="9"/>
  <c r="H5" i="52" s="1"/>
  <c r="M48" i="9"/>
  <c r="H107" i="9"/>
  <c r="D45" i="9"/>
  <c r="D5" i="53"/>
  <c r="I118" i="9"/>
  <c r="C104" i="9"/>
  <c r="D6" i="53" l="1"/>
  <c r="B22" i="72" s="1"/>
  <c r="B20" i="72"/>
  <c r="C72" i="9"/>
  <c r="C85" i="9"/>
  <c r="C64" i="9"/>
  <c r="C63" i="9" s="1"/>
  <c r="C67" i="9" s="1"/>
  <c r="D52" i="9"/>
  <c r="C78" i="9"/>
  <c r="C73" i="9" s="1"/>
  <c r="C93" i="9"/>
  <c r="C86" i="9" s="1"/>
  <c r="D53" i="9"/>
  <c r="D55" i="9"/>
  <c r="M53" i="9" s="1"/>
  <c r="D13" i="53"/>
  <c r="M49" i="9"/>
  <c r="D122" i="9"/>
  <c r="I4" i="52"/>
  <c r="H102" i="9"/>
  <c r="H108" i="9" s="1"/>
  <c r="C105" i="9"/>
  <c r="E118" i="9"/>
  <c r="E4" i="52" s="1"/>
  <c r="B48" i="72" s="1"/>
  <c r="D123" i="9" l="1"/>
  <c r="D9" i="52" s="1"/>
  <c r="D8" i="52"/>
  <c r="L65" i="9"/>
  <c r="M65" i="9" s="1"/>
  <c r="L68" i="9"/>
  <c r="M68" i="9" s="1"/>
  <c r="L67" i="9"/>
  <c r="M67" i="9" s="1"/>
  <c r="L64" i="9"/>
  <c r="M64" i="9" s="1"/>
  <c r="L66" i="9"/>
  <c r="M66" i="9" s="1"/>
  <c r="L63" i="9"/>
  <c r="M63" i="9" s="1"/>
  <c r="C95" i="9"/>
  <c r="D15" i="53"/>
  <c r="B31" i="72" s="1"/>
  <c r="C6" i="74"/>
  <c r="D59" i="9"/>
  <c r="M55" i="9" s="1"/>
  <c r="C68" i="9"/>
  <c r="D54" i="9" s="1"/>
  <c r="C5" i="74"/>
  <c r="D7" i="53"/>
  <c r="B21" i="72" s="1"/>
  <c r="D14" i="53"/>
  <c r="B32" i="72" s="1"/>
  <c r="B30" i="72"/>
  <c r="C79" i="9"/>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<sst xmlns="http://schemas.openxmlformats.org/spreadsheetml/2006/main" count="7934" uniqueCount="3449">
  <si>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</si>
  <si>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</si>
  <si>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</si>
  <si>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</si>
  <si>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</si>
  <si>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</si>
  <si>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</si>
  <si>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</si>
  <si>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</si>
  <si>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</si>
  <si>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</si>
  <si>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</si>
  <si>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</si>
  <si>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</si>
  <si>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</si>
  <si>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</si>
  <si>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</si>
  <si>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</si>
  <si>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</si>
  <si>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</si>
  <si>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</si>
  <si>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</si>
  <si>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</si>
  <si>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</si>
  <si>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</si>
  <si>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</si>
  <si>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</si>
  <si>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</si>
  <si>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</si>
  <si>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</si>
  <si>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</si>
  <si>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</si>
  <si>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</si>
  <si>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</si>
  <si>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</si>
  <si>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</si>
  <si>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</si>
  <si>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</si>
  <si>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</si>
  <si>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</si>
  <si>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</si>
  <si>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</si>
  <si>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</si>
  <si>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</si>
  <si>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</si>
  <si>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</si>
  <si>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</si>
  <si>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</si>
  <si>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</si>
  <si>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</si>
  <si>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</si>
  <si>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</si>
  <si>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</si>
  <si>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</si>
  <si>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</si>
  <si>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</si>
  <si>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</si>
  <si>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</si>
  <si>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</si>
  <si>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</si>
  <si>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</si>
  <si>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</si>
  <si>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</si>
  <si>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</si>
  <si>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</si>
  <si>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</si>
  <si>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</si>
  <si>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</si>
  <si>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</si>
  <si>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</si>
  <si>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</si>
  <si>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</si>
  <si>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</si>
  <si>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</si>
  <si>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</si>
  <si>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</si>
  <si>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</si>
  <si>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</si>
  <si>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</si>
  <si>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</si>
  <si>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</si>
  <si>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</si>
  <si>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</si>
  <si>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</si>
  <si>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</si>
  <si>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</si>
  <si>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</si>
  <si>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</si>
  <si>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</si>
  <si>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</si>
  <si>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</si>
  <si>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</si>
  <si>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</si>
  <si>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</si>
  <si>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</si>
  <si>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</si>
  <si>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</si>
  <si>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</si>
  <si>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</si>
  <si>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</si>
  <si>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</si>
  <si>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</si>
  <si>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</si>
  <si>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</si>
  <si>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</si>
  <si>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</si>
  <si>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</si>
  <si>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</si>
  <si>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</si>
  <si>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</si>
  <si>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</si>
  <si>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</si>
  <si>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</si>
  <si>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</si>
  <si>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</si>
  <si>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</si>
  <si>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</si>
  <si>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</si>
  <si>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</si>
  <si>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</si>
  <si>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</si>
  <si>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</si>
  <si>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</si>
  <si>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</si>
  <si>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</si>
  <si>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</si>
  <si>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</si>
  <si>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</si>
  <si>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</si>
  <si>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</si>
  <si>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</si>
  <si>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</si>
  <si>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</si>
  <si>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</si>
  <si>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</si>
  <si>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</si>
  <si>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</si>
  <si>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</si>
  <si>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</si>
  <si>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</si>
  <si>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</si>
  <si>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</si>
  <si>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</si>
  <si>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</si>
  <si>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</si>
  <si>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</si>
  <si>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</si>
  <si>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</si>
  <si>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</si>
  <si>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</si>
  <si>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</si>
  <si>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</si>
  <si>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</si>
  <si>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</si>
  <si>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</si>
  <si>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</si>
  <si>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</si>
  <si>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</si>
  <si>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</si>
  <si>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</si>
  <si>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</si>
  <si>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</si>
  <si>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</si>
  <si>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</si>
  <si>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</si>
  <si>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</si>
  <si>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</si>
  <si>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</si>
  <si>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</si>
  <si>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</si>
  <si>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</si>
  <si>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</si>
  <si>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</si>
  <si>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</si>
  <si>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</si>
  <si>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</si>
  <si>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</si>
  <si>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</si>
  <si>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</si>
  <si>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</si>
  <si>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</si>
  <si>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</si>
  <si>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</si>
  <si>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</si>
  <si>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</si>
  <si>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</si>
  <si>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</si>
  <si>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</si>
  <si>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</si>
  <si>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</si>
  <si>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</si>
  <si>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</si>
  <si>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</si>
  <si>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</si>
  <si>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</si>
  <si>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</si>
  <si>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</si>
  <si>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</si>
  <si>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</si>
  <si>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</si>
  <si>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</si>
  <si>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</si>
  <si>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</si>
  <si>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</si>
  <si>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</si>
  <si>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</si>
  <si>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</si>
  <si>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</si>
  <si>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</si>
  <si>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</si>
  <si>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</si>
  <si>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</si>
  <si>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</si>
  <si>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</si>
  <si>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</si>
  <si>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</si>
  <si>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</si>
  <si>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</si>
  <si>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</si>
  <si>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</si>
  <si>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</si>
  <si>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</si>
  <si>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</si>
  <si>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</si>
  <si>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</si>
  <si>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</si>
  <si>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</si>
  <si>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</si>
  <si>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</si>
  <si>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</si>
  <si>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</si>
  <si>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</si>
  <si>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</si>
  <si>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</si>
  <si>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</si>
  <si>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</si>
  <si>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</si>
  <si>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</si>
  <si>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</si>
  <si>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</si>
  <si>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</si>
  <si>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</si>
  <si>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</si>
  <si>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</si>
  <si>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</si>
  <si>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</si>
  <si>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</si>
  <si>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</si>
  <si>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</si>
  <si>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</si>
  <si>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</si>
  <si>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</si>
  <si>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</si>
  <si>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</si>
  <si>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</si>
  <si>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</si>
  <si>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</si>
  <si>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</si>
  <si>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</si>
  <si>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</si>
  <si>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</si>
  <si>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</si>
  <si>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</si>
  <si>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</si>
  <si>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</si>
  <si>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</si>
  <si>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</si>
  <si>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</si>
  <si>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</si>
  <si>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</si>
  <si>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</si>
  <si>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</si>
  <si>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</si>
  <si>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</si>
  <si>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</si>
  <si>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</si>
  <si>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</si>
  <si>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</si>
  <si>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</si>
  <si>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</si>
  <si>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</si>
  <si>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</si>
  <si>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</si>
  <si>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</si>
  <si>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</si>
  <si>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</si>
  <si>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</si>
  <si>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</si>
  <si>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</si>
  <si>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</si>
  <si>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</si>
  <si>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</si>
  <si>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</si>
  <si>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</si>
  <si>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</si>
  <si>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</si>
  <si>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</si>
  <si>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</si>
  <si>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</si>
  <si>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</si>
  <si>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</si>
  <si>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</si>
  <si>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</si>
  <si>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</si>
  <si>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</si>
  <si>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</si>
  <si>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</si>
  <si>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</si>
  <si>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</si>
  <si>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</si>
  <si>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</si>
  <si>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</si>
  <si>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</si>
  <si>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</si>
  <si>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</si>
  <si>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</si>
  <si>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</si>
  <si>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</si>
  <si>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</si>
  <si>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</si>
  <si>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</si>
  <si>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</si>
  <si>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</si>
  <si>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</si>
  <si>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</si>
  <si>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</si>
  <si>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</si>
  <si>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</si>
  <si>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</si>
  <si>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</si>
  <si>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</si>
  <si>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</si>
  <si>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</si>
  <si>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</si>
  <si>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</si>
  <si>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</si>
  <si>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</si>
  <si>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</si>
  <si>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</si>
  <si>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</si>
  <si>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</si>
  <si>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</si>
  <si>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</si>
  <si>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</si>
  <si>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</si>
  <si>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</si>
  <si>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</si>
  <si>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</si>
  <si>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</si>
  <si>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</si>
  <si>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</si>
  <si>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</si>
  <si>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</si>
  <si>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</si>
  <si>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</si>
  <si>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</si>
  <si>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</si>
  <si>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</si>
  <si>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</si>
  <si>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</si>
  <si>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</si>
  <si>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</si>
  <si>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</si>
  <si>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</si>
  <si>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</si>
  <si>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</si>
  <si>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</si>
  <si>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</si>
  <si>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</si>
  <si>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</si>
  <si>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</si>
  <si>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</si>
  <si>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</si>
  <si>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</si>
  <si>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</si>
  <si>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</si>
  <si>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</si>
  <si>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</si>
  <si>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</si>
  <si>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</si>
  <si>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</si>
  <si>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</si>
  <si>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</si>
  <si>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</si>
  <si>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</si>
  <si>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</si>
  <si>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</si>
  <si>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</si>
  <si>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</si>
  <si>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</si>
  <si>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</si>
  <si>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</si>
  <si>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</si>
  <si>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</si>
  <si>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</si>
  <si>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</si>
  <si>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</si>
  <si>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</si>
  <si>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</si>
  <si>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</si>
  <si>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</si>
  <si>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</si>
  <si>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</si>
  <si>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</si>
  <si>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</si>
  <si>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</si>
  <si>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</si>
  <si>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</si>
  <si>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</si>
  <si>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</si>
  <si>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</si>
  <si>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</si>
  <si>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</si>
  <si>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</si>
  <si>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</si>
  <si>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</si>
  <si>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</si>
  <si>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</si>
  <si>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</si>
  <si>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</si>
  <si>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</si>
  <si>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</si>
  <si>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</si>
  <si>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</si>
  <si>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</si>
  <si>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</si>
  <si>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</si>
  <si>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</si>
  <si>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</si>
  <si>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</si>
  <si>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</si>
  <si>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</si>
  <si>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</si>
  <si>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</si>
  <si>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</si>
  <si>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</si>
  <si>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</si>
  <si>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</si>
  <si>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</si>
  <si>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</si>
  <si>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</si>
  <si>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</si>
  <si>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</si>
  <si>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</si>
  <si>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</si>
  <si>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</si>
  <si>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</si>
  <si>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</si>
  <si>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</si>
  <si>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</si>
  <si>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</si>
  <si>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</si>
  <si>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</si>
  <si>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</si>
  <si>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</si>
  <si>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</si>
  <si>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</si>
  <si>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</si>
  <si>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</si>
  <si>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</si>
  <si>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</si>
  <si>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</si>
  <si>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</si>
  <si>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</si>
  <si>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</si>
  <si>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</si>
  <si>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</si>
  <si>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</si>
  <si>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</si>
  <si>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</si>
  <si>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</si>
  <si>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</si>
  <si>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</si>
  <si>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</si>
  <si>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</si>
  <si>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</si>
  <si>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</si>
  <si>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</si>
  <si>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</si>
  <si>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</si>
  <si>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</si>
  <si>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</si>
  <si>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</si>
  <si>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</si>
  <si>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</si>
  <si>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</si>
  <si>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</si>
  <si>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</si>
  <si>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</si>
  <si>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</si>
  <si>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</si>
  <si>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</si>
  <si>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</si>
  <si>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</si>
  <si>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</si>
  <si>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</si>
  <si>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</si>
  <si>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</si>
  <si>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</si>
  <si>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</si>
  <si>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</si>
  <si>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</si>
  <si>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</si>
  <si>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</si>
  <si>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</si>
  <si>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</si>
  <si>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</si>
  <si>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</si>
  <si>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</si>
  <si>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</si>
  <si>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</si>
  <si>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</si>
  <si>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</si>
  <si>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</si>
  <si>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</si>
  <si>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</si>
  <si>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</si>
  <si>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</si>
  <si>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</si>
  <si>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</si>
  <si>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</si>
  <si>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</si>
  <si>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</si>
  <si>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</si>
  <si>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</si>
  <si>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</si>
  <si>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</si>
  <si>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</si>
  <si>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</si>
  <si>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</si>
  <si>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</si>
  <si>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</si>
  <si>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</si>
  <si>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</si>
  <si>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</si>
  <si>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</si>
  <si>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</si>
  <si>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</si>
  <si>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</si>
  <si>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</si>
  <si>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</si>
  <si>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</si>
  <si>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</si>
  <si>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</si>
  <si>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</si>
  <si>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</si>
  <si>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</si>
  <si>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</si>
  <si>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</si>
  <si>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</si>
  <si>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</si>
  <si>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</si>
  <si>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</si>
  <si>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</si>
  <si>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</si>
  <si>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</si>
  <si>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</si>
  <si>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</si>
  <si>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</si>
  <si>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</si>
  <si>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</si>
  <si>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</si>
  <si>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</si>
  <si>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</si>
  <si>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</si>
  <si>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</si>
  <si>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</si>
  <si>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</si>
  <si>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</si>
  <si>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</si>
  <si>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</si>
  <si>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</si>
  <si>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</si>
  <si>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</si>
  <si>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</si>
  <si>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</si>
  <si>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</si>
  <si>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</si>
  <si>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</si>
  <si>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</si>
  <si>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</si>
  <si>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</si>
  <si>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</si>
  <si>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</si>
  <si>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</si>
  <si>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</si>
  <si>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</si>
  <si>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</si>
  <si>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</si>
  <si>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</si>
  <si>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</si>
  <si>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</si>
  <si>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</si>
  <si>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</si>
  <si>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</si>
  <si>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</si>
  <si>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</si>
  <si>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</si>
  <si>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</si>
  <si>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</si>
  <si>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</si>
  <si>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</si>
  <si>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</si>
  <si>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</si>
  <si>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</si>
  <si>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</si>
  <si>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</si>
  <si>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</si>
  <si>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</si>
  <si>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</si>
  <si>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</si>
  <si>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</si>
  <si>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</si>
  <si>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</si>
  <si>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</si>
  <si>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</si>
  <si>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</si>
  <si>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</si>
  <si>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</si>
  <si>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</si>
  <si>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</si>
  <si>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</si>
  <si>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</si>
  <si>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</si>
  <si>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</si>
  <si>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</si>
  <si>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</si>
  <si>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</si>
  <si>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</si>
  <si>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</si>
  <si>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</si>
  <si>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</si>
  <si>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</si>
  <si>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</si>
  <si>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</si>
  <si>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</si>
  <si>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</si>
  <si>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</si>
  <si>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</si>
  <si>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</si>
  <si>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</si>
  <si>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</si>
  <si>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</si>
  <si>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</si>
  <si>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</si>
  <si>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</si>
  <si>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</si>
  <si>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</si>
  <si>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</si>
  <si>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</si>
  <si>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</si>
  <si>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</si>
  <si>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</si>
  <si>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</si>
  <si>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</si>
  <si>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</si>
  <si>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</si>
  <si>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</si>
  <si>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</si>
  <si>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</si>
  <si>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</si>
  <si>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</si>
  <si>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</si>
  <si>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</si>
  <si>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</si>
  <si>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</si>
  <si>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</si>
  <si>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</si>
  <si>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</si>
  <si>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</si>
  <si>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</si>
  <si>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</si>
  <si>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</si>
  <si>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</si>
  <si>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</si>
  <si>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</si>
  <si>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</si>
  <si>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</si>
  <si>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</si>
  <si>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</si>
  <si>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</si>
  <si>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</si>
  <si>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</si>
  <si>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</si>
  <si>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</si>
  <si>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</si>
  <si>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</si>
  <si>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</si>
  <si>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</si>
  <si>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</si>
  <si>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</si>
  <si>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</si>
  <si>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</si>
  <si>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</si>
  <si>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</si>
  <si>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</si>
  <si>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</si>
  <si>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</si>
  <si>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</si>
  <si>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</si>
  <si>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</si>
  <si>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</si>
  <si>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</si>
  <si>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</si>
  <si>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</si>
  <si>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</si>
  <si>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</si>
  <si>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</si>
  <si>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</si>
  <si>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</si>
  <si>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</si>
  <si>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</si>
  <si>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</si>
  <si>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</si>
  <si>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</si>
  <si>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</si>
  <si>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</si>
  <si>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</si>
  <si>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</si>
  <si>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</si>
  <si>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</si>
  <si>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</si>
  <si>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</si>
  <si>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</si>
  <si>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</si>
  <si>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</si>
  <si>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</si>
  <si>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</si>
  <si>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</si>
  <si>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</si>
  <si>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</si>
  <si>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</si>
  <si>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</si>
  <si>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</si>
  <si>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</si>
  <si>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</si>
  <si>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</si>
  <si>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</si>
  <si>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</si>
  <si>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</si>
  <si>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</si>
  <si>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</si>
  <si>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</si>
  <si>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</si>
  <si>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</si>
  <si>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</si>
  <si>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</si>
  <si>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</si>
  <si>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</si>
  <si>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</si>
  <si>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</si>
  <si>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</si>
  <si>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</si>
  <si>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</si>
  <si>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</si>
  <si>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</si>
  <si>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</si>
  <si>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</si>
  <si>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</si>
  <si>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</si>
  <si>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</si>
  <si>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</si>
  <si>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</si>
  <si>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</si>
  <si>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</si>
  <si>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</si>
  <si>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</si>
  <si>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</si>
  <si>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</si>
  <si>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</si>
  <si>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</si>
  <si>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</si>
  <si>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</si>
  <si>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</si>
  <si>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</si>
  <si>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</si>
  <si>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</si>
  <si>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</si>
  <si>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</si>
  <si>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</si>
  <si>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</si>
  <si>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</si>
  <si>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</si>
  <si>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</si>
  <si>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</si>
  <si>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</si>
  <si>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</si>
  <si>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</si>
  <si>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</si>
  <si>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</si>
  <si>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</si>
  <si>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</si>
  <si>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</si>
  <si>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</si>
  <si>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</si>
  <si>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</si>
  <si>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</si>
  <si>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</si>
  <si>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</si>
  <si>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</si>
  <si>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</si>
  <si>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</si>
  <si>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</si>
  <si>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</si>
  <si>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</si>
  <si>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</si>
  <si>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</si>
  <si>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</si>
  <si>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</si>
  <si>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</si>
  <si>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</si>
  <si>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</si>
  <si>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</si>
  <si>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</si>
  <si>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</si>
  <si>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</si>
  <si>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</si>
  <si>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</si>
  <si>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</si>
  <si>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</si>
  <si>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</si>
  <si>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</si>
  <si>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</si>
  <si>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</si>
  <si>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</si>
  <si>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</si>
  <si>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</si>
  <si>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</si>
  <si>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</si>
  <si>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</si>
  <si>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</si>
  <si>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</si>
  <si>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</si>
  <si>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</si>
  <si>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</si>
  <si>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</si>
  <si>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</si>
  <si>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</si>
  <si>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</si>
  <si>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</si>
  <si>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</si>
  <si>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</si>
  <si>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</si>
  <si>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</si>
  <si>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</si>
  <si>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</si>
  <si>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</si>
  <si>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</si>
  <si>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</si>
  <si>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</si>
  <si>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</si>
  <si>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</si>
  <si>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</si>
  <si>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</si>
  <si>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</si>
  <si>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</si>
  <si>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</si>
  <si>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</si>
  <si>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</si>
  <si>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</si>
  <si>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</si>
  <si>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</si>
  <si>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</si>
  <si>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</si>
  <si>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</si>
  <si>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</si>
  <si>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</si>
  <si>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</si>
  <si>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</si>
  <si>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</si>
  <si>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</si>
  <si>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</si>
  <si>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</si>
  <si>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</si>
  <si>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</si>
  <si>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</si>
  <si>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</si>
  <si>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</si>
  <si>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</si>
  <si>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</si>
  <si>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</si>
  <si>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</si>
  <si>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</si>
  <si>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</si>
  <si>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</si>
  <si>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</si>
  <si>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</si>
  <si>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</si>
  <si>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</si>
  <si>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</si>
  <si>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</si>
  <si>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</si>
  <si>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</si>
  <si>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</si>
  <si>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</si>
  <si>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</si>
  <si>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</si>
  <si>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</si>
  <si>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</si>
  <si>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</si>
  <si>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</si>
  <si>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</si>
  <si>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</si>
  <si>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</si>
  <si>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</si>
  <si>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</si>
  <si>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</si>
  <si>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</si>
  <si>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</si>
  <si>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</si>
  <si>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</si>
  <si>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</si>
  <si>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</si>
  <si>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</si>
  <si>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</si>
  <si>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</si>
  <si>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</si>
  <si>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</si>
  <si>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</si>
  <si>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</si>
  <si>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</si>
  <si>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</si>
  <si>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</si>
  <si>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</si>
  <si>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</si>
  <si>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</si>
  <si>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</si>
  <si>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</si>
  <si>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</si>
  <si>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</si>
  <si>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</si>
  <si>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</si>
  <si>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</si>
  <si>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</si>
  <si>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</si>
  <si>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</si>
  <si>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</si>
  <si>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</si>
  <si>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</si>
  <si>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</si>
  <si>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</si>
  <si>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</si>
  <si>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</si>
  <si>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</si>
  <si>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</si>
  <si>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</si>
  <si>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</si>
  <si>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</si>
  <si>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</si>
  <si>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</si>
  <si>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</si>
  <si>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</si>
  <si>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</si>
  <si>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</si>
  <si>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</si>
  <si>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</si>
  <si>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</si>
  <si>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</si>
  <si>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</si>
  <si>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</si>
  <si>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</si>
  <si>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</si>
  <si>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</si>
  <si>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</si>
  <si>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</si>
  <si>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</si>
  <si>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</si>
  <si>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</si>
  <si>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</si>
  <si>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</si>
  <si>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</si>
  <si>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</si>
  <si>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</si>
  <si>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</si>
  <si>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</si>
  <si>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</si>
  <si>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</si>
  <si>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</si>
  <si>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</si>
  <si>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</si>
  <si>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</si>
  <si>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</si>
  <si>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</si>
  <si>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</si>
  <si>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</si>
  <si>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</si>
  <si>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</si>
  <si>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</si>
  <si>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</si>
  <si>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</si>
  <si>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</si>
  <si>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</si>
  <si>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</si>
  <si>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</si>
  <si>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</si>
  <si>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</si>
  <si>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</si>
  <si>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</si>
  <si>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</si>
  <si>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</si>
  <si>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</si>
  <si>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</si>
  <si>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</si>
  <si>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</si>
  <si>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</si>
  <si>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</si>
  <si>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</si>
  <si>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</si>
  <si>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</si>
  <si>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</si>
  <si>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</si>
  <si>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</si>
  <si>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</si>
  <si>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</si>
  <si>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</si>
  <si>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</si>
  <si>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</si>
  <si>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</si>
  <si>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</si>
  <si>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</si>
  <si>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</si>
  <si>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</si>
  <si>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</si>
  <si>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</si>
  <si>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</si>
  <si>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</si>
  <si>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</si>
  <si>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</si>
  <si>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</si>
  <si>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</si>
  <si>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</si>
  <si>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</si>
  <si>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</si>
  <si>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</si>
  <si>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</si>
  <si>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</si>
  <si>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</si>
  <si>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</si>
  <si>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</si>
  <si>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</si>
  <si>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</si>
  <si>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</si>
  <si>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</si>
  <si>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</si>
  <si>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</si>
  <si>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</si>
  <si>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</si>
  <si>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</si>
  <si>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</si>
  <si>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</si>
  <si>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</si>
  <si>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</si>
  <si>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</si>
  <si>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</si>
  <si>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</si>
  <si>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</si>
  <si>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</si>
  <si>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</si>
  <si>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</si>
  <si>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</si>
  <si>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</si>
  <si>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</si>
  <si>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</si>
  <si>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</si>
  <si>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</si>
  <si>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</si>
  <si>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</si>
  <si>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</si>
  <si>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</si>
  <si>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</si>
  <si>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</si>
  <si>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</si>
  <si>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</si>
  <si>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</si>
  <si>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</si>
  <si>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</si>
  <si>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</si>
  <si>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</si>
  <si>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</si>
  <si>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</si>
  <si>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</si>
  <si>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</si>
  <si>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</si>
  <si>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</si>
  <si>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</si>
  <si>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</si>
  <si>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</si>
  <si>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</si>
  <si>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</si>
  <si>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</si>
  <si>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</si>
  <si>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</si>
  <si>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</si>
  <si>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</si>
  <si>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</si>
  <si>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</si>
  <si>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</si>
  <si>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</si>
  <si>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</si>
  <si>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</si>
  <si>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</si>
  <si>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</si>
  <si>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</si>
  <si>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</si>
  <si>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</si>
  <si>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</si>
  <si>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</si>
  <si>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</si>
  <si>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</si>
  <si>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</si>
  <si>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</si>
  <si>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</si>
  <si>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</si>
  <si>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</si>
  <si>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</si>
  <si>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</si>
  <si>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</si>
  <si>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</si>
  <si>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</si>
  <si>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</si>
  <si>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</si>
  <si>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</si>
  <si>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</si>
  <si>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</si>
  <si>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</si>
  <si>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</si>
  <si>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</si>
  <si>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</si>
  <si>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</si>
  <si>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</si>
  <si>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</si>
  <si>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</si>
  <si>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</si>
  <si>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</si>
  <si>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</si>
  <si>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</si>
  <si>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</si>
  <si>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</si>
  <si>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</si>
  <si>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</si>
  <si>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</si>
  <si>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</si>
  <si>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</si>
  <si>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</si>
  <si>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</si>
  <si>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</si>
  <si>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</si>
  <si>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</si>
  <si>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</si>
  <si>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</si>
  <si>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</si>
  <si>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</si>
  <si>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</si>
  <si>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</si>
  <si>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</si>
  <si>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</si>
  <si>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</si>
  <si>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</si>
  <si>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</si>
  <si>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</si>
  <si>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</si>
  <si>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</si>
  <si>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</si>
  <si>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</si>
  <si>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</si>
  <si>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</si>
  <si>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</si>
  <si>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</si>
  <si>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</si>
  <si>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</si>
  <si>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</si>
  <si>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</si>
  <si>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</si>
  <si>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</si>
  <si>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</si>
  <si>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</si>
  <si>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</si>
  <si>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</si>
  <si>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</si>
  <si>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</si>
  <si>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</si>
  <si>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</si>
  <si>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</si>
  <si>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</si>
  <si>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</si>
  <si>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</si>
  <si>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</si>
  <si>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</si>
  <si>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</si>
  <si>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</si>
  <si>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</si>
  <si>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</si>
  <si>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</si>
  <si>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</si>
  <si>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</si>
  <si>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</si>
  <si>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</si>
  <si>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</si>
  <si>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</si>
  <si>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</si>
  <si>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</si>
  <si>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</si>
  <si>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</si>
  <si>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</si>
  <si>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</si>
  <si>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</si>
  <si>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</si>
  <si>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</si>
  <si>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</si>
  <si>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</si>
  <si>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</si>
  <si>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</si>
  <si>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</si>
  <si>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</si>
  <si>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</si>
  <si>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</si>
  <si>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</si>
  <si>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</si>
  <si>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</si>
  <si>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</si>
  <si>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</si>
  <si>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</si>
  <si>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</si>
  <si>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</si>
  <si>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</si>
  <si>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</si>
  <si>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</si>
  <si>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</si>
  <si>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</si>
  <si>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</si>
  <si>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</si>
  <si>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</si>
  <si>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</si>
  <si>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</si>
  <si>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</si>
  <si>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</si>
  <si>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</si>
  <si>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</si>
  <si>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</si>
  <si>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</si>
  <si>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</si>
  <si>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</si>
  <si>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</si>
  <si>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</si>
  <si>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</si>
  <si>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</si>
  <si>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</si>
  <si>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</si>
  <si>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</si>
  <si>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</si>
  <si>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</si>
  <si>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</si>
  <si>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</si>
  <si>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</si>
  <si>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</si>
  <si>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</si>
  <si>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</si>
  <si>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</si>
  <si>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</si>
  <si>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</si>
  <si>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</si>
  <si>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</si>
  <si>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</si>
  <si>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</si>
  <si>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</si>
  <si>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</si>
  <si>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</si>
  <si>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</si>
  <si>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</si>
  <si>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</si>
  <si>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</si>
  <si>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</si>
  <si>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</si>
  <si>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</si>
  <si>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</si>
  <si>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</si>
  <si>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</si>
  <si>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</si>
  <si>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</si>
  <si>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</si>
  <si>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</si>
  <si>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</si>
  <si>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</si>
  <si>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</si>
  <si>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</si>
  <si>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</si>
  <si>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</si>
  <si>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</si>
  <si>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</si>
  <si>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</si>
  <si>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</si>
  <si>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</si>
  <si>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</si>
  <si>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</si>
  <si>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</si>
  <si>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</si>
  <si>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</si>
  <si>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</si>
  <si>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</si>
  <si>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</si>
  <si>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</si>
  <si>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</si>
  <si>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</si>
  <si>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</si>
  <si>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</si>
  <si>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</si>
  <si>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</si>
  <si>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</si>
  <si>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</si>
  <si>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</si>
  <si>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</si>
  <si>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</si>
  <si>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</si>
  <si>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</si>
  <si>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</si>
  <si>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</si>
  <si>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</si>
  <si>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</si>
  <si>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</si>
  <si>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</si>
  <si>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</si>
  <si>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</si>
  <si>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</si>
  <si>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</si>
  <si>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</si>
  <si>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</si>
  <si>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</si>
  <si>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</si>
  <si>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</si>
  <si>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</si>
  <si>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</si>
  <si>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</si>
  <si>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</si>
  <si>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</si>
  <si>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</si>
  <si>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</si>
  <si>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</si>
  <si>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</si>
  <si>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</si>
  <si>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</si>
  <si>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</si>
  <si>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</si>
  <si>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</si>
  <si>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</si>
  <si>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</si>
  <si>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</si>
  <si>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</si>
  <si>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</si>
  <si>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</si>
  <si>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</si>
  <si>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</si>
  <si>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</si>
  <si>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</si>
  <si>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</si>
  <si>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</si>
  <si>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</si>
  <si>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</si>
  <si>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</si>
  <si>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</si>
  <si>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</si>
  <si>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</si>
  <si>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</si>
  <si>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</si>
  <si>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</si>
  <si>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</si>
  <si>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</si>
  <si>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</si>
  <si>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</si>
  <si>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</si>
  <si>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</si>
  <si>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</si>
  <si>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</si>
  <si>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</si>
  <si>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</si>
  <si>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</si>
  <si>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</si>
  <si>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</si>
  <si>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</si>
  <si>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</si>
  <si>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</si>
  <si>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</si>
  <si>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</si>
  <si>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</si>
  <si>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</si>
  <si>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</si>
  <si>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</si>
  <si>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</si>
  <si>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</si>
  <si>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</si>
  <si>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</si>
  <si>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</si>
  <si>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</si>
  <si>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</si>
  <si>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</si>
  <si>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</si>
  <si>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</si>
  <si>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</si>
  <si>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</si>
  <si>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</si>
  <si>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</si>
  <si>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</si>
  <si>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</si>
  <si>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</si>
  <si>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</si>
  <si>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</si>
  <si>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</si>
  <si>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</si>
  <si>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</si>
  <si>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</si>
  <si>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</si>
  <si>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</si>
  <si>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</si>
  <si>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</si>
  <si>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</si>
  <si>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</si>
  <si>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</si>
  <si>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</si>
  <si>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</si>
  <si>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</si>
  <si>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</si>
  <si>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</si>
  <si>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</si>
  <si>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</si>
  <si>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</si>
  <si>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</si>
  <si>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</si>
  <si>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</si>
  <si>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</si>
  <si>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</si>
  <si>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</si>
  <si>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</si>
  <si>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</si>
  <si>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</si>
  <si>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</si>
  <si>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</si>
  <si>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</si>
  <si>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</si>
  <si>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</si>
  <si>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</si>
  <si>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</si>
  <si>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</si>
  <si>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</si>
  <si>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</si>
  <si>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</si>
  <si>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</si>
  <si>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</si>
  <si>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</si>
  <si>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</si>
  <si>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</si>
  <si>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</si>
  <si>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</si>
  <si>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</si>
  <si>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</si>
  <si>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</si>
  <si>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</si>
  <si>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</si>
  <si>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</si>
  <si>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</si>
  <si>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</si>
  <si>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</si>
  <si>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</si>
  <si>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</si>
  <si>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</si>
  <si>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</si>
  <si>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</si>
  <si>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</si>
  <si>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</si>
  <si>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</si>
  <si>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</si>
  <si>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</si>
  <si>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</si>
  <si>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</si>
  <si>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</si>
  <si>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</si>
  <si>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</si>
  <si>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</si>
  <si>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</si>
  <si>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</si>
  <si>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</si>
  <si>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</si>
  <si>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</si>
  <si>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</si>
  <si>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</si>
  <si>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</si>
  <si>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</si>
  <si>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</si>
  <si>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</si>
  <si>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</si>
  <si>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</si>
  <si>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</si>
  <si>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</si>
  <si>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</si>
  <si>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</si>
  <si>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</si>
  <si>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</si>
  <si>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</si>
  <si>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</si>
  <si>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</si>
  <si>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</si>
  <si>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</si>
  <si>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</si>
  <si>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</si>
  <si>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</si>
  <si>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</si>
  <si>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</si>
  <si>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</si>
  <si>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</si>
  <si>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</si>
  <si>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</si>
  <si>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</si>
  <si>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</si>
  <si>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</si>
  <si>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</si>
  <si>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</si>
  <si>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</si>
  <si>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</si>
  <si>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</si>
  <si>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</si>
  <si>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</si>
  <si>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</si>
  <si>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</si>
  <si>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</si>
  <si>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</si>
  <si>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</si>
  <si>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</si>
  <si>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</si>
  <si>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</si>
  <si>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</si>
  <si>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</si>
  <si>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</si>
  <si>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</si>
  <si>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</si>
  <si>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</si>
  <si>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</si>
  <si>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</si>
  <si>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</si>
  <si>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</si>
  <si>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</si>
  <si>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</si>
  <si>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</si>
  <si>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</si>
  <si>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</si>
  <si>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</si>
  <si>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</si>
  <si>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</si>
  <si>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</si>
  <si>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</si>
  <si>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</si>
  <si>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</si>
  <si>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</si>
  <si>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</si>
  <si>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</si>
  <si>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</si>
  <si>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</si>
  <si>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</si>
  <si>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</si>
  <si>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</si>
  <si>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</si>
  <si>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</si>
  <si>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</si>
  <si>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</si>
  <si>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</si>
  <si>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</si>
  <si>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</si>
  <si>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</si>
  <si>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</si>
  <si>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</si>
  <si>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</si>
  <si>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</si>
  <si>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</si>
  <si>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</si>
  <si>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</si>
  <si>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</si>
  <si>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</si>
  <si>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</si>
  <si>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</si>
  <si>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</si>
  <si>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</si>
  <si>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</si>
  <si>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</si>
  <si>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</si>
  <si>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</si>
  <si>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</si>
  <si>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</si>
  <si>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</si>
  <si>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</si>
  <si>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</si>
  <si>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</si>
  <si>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</si>
  <si>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</si>
  <si>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</si>
  <si>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</si>
  <si>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</si>
  <si>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</si>
  <si>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</si>
  <si>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</si>
  <si>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</si>
  <si>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</si>
  <si>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</si>
  <si>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</si>
  <si>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</si>
  <si>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</si>
  <si>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</si>
  <si>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</si>
  <si>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</si>
  <si>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</si>
  <si>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</si>
  <si>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</si>
  <si>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</si>
  <si>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</si>
  <si>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</si>
  <si>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</si>
  <si>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</si>
  <si>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</si>
  <si>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</si>
  <si>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</si>
  <si>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</si>
  <si>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</si>
  <si>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</si>
  <si>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</si>
  <si>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</si>
  <si>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</si>
  <si>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</si>
  <si>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</si>
  <si>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</si>
  <si>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</si>
  <si>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</si>
  <si>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</si>
  <si>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</si>
  <si>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</si>
  <si>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</si>
  <si>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</si>
  <si>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</si>
  <si>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</si>
  <si>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</si>
  <si>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</si>
  <si>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</si>
  <si>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</si>
  <si>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</si>
  <si>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</si>
  <si>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</si>
  <si>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</si>
  <si>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</si>
  <si>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</si>
  <si>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</si>
  <si>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</si>
  <si>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</si>
  <si>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</si>
  <si>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</si>
  <si>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</si>
  <si>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</si>
  <si>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</si>
  <si>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</si>
  <si>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</si>
  <si>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</si>
  <si>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</si>
  <si>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</si>
  <si>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</si>
  <si>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</si>
  <si>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</si>
  <si>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</si>
  <si>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</si>
  <si>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</si>
  <si>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</si>
  <si>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</si>
  <si>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</si>
  <si>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</si>
  <si>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</si>
  <si>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</si>
  <si>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</si>
  <si>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</si>
  <si>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</si>
  <si>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</si>
  <si>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</si>
  <si>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</si>
  <si>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</si>
  <si>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</si>
  <si>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</si>
  <si>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</si>
  <si>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</si>
  <si>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</si>
  <si>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</si>
  <si>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</si>
  <si>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</si>
  <si>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</si>
  <si>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</si>
  <si>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</si>
  <si>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</si>
  <si>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</si>
  <si>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</si>
  <si>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</si>
  <si>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</si>
  <si>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</si>
  <si>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</si>
  <si>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</si>
  <si>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</si>
  <si>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</si>
  <si>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</si>
  <si>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</si>
  <si>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</si>
  <si>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</si>
  <si>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</si>
  <si>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</si>
  <si>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</si>
  <si>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</si>
  <si>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</si>
  <si>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</si>
  <si>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</si>
  <si>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</si>
  <si>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</si>
  <si>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</si>
  <si>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</si>
  <si>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</si>
  <si>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</si>
  <si>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</si>
  <si>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</si>
  <si>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</si>
  <si>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</si>
  <si>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</si>
  <si>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</si>
  <si>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</si>
  <si>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</si>
  <si>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</si>
  <si>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</si>
  <si>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</si>
  <si>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</si>
  <si>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</si>
  <si>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</si>
  <si>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</si>
  <si>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</si>
  <si>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</si>
  <si>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</si>
  <si>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</si>
  <si>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</si>
  <si>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</si>
  <si>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</si>
  <si>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</si>
  <si>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</si>
  <si>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</si>
  <si>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</si>
  <si>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</si>
  <si>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</si>
  <si>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</si>
  <si>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</si>
  <si>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</si>
  <si>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</si>
  <si>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</si>
  <si>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</si>
  <si>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</si>
  <si>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</si>
  <si>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</si>
  <si>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</si>
  <si>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</si>
  <si>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</si>
  <si>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</si>
  <si>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</si>
  <si>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</si>
  <si>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</si>
  <si>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</si>
  <si>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</si>
  <si>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</si>
  <si>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</si>
  <si>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</si>
  <si>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</si>
  <si>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</si>
  <si>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</si>
  <si>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</si>
  <si>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</si>
  <si>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</si>
  <si>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</si>
  <si>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</si>
  <si>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</si>
  <si>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</si>
  <si>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</si>
  <si>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</si>
  <si>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</si>
  <si>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</si>
  <si>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</si>
  <si>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</si>
  <si>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</si>
  <si>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</si>
  <si>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</si>
  <si>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</si>
  <si>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</si>
  <si>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</si>
  <si>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</si>
  <si>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</si>
  <si>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</si>
  <si>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</si>
  <si>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</si>
  <si>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</si>
  <si>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</si>
  <si>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</si>
  <si>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</si>
  <si>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</si>
  <si>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</si>
  <si>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</si>
  <si>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</si>
  <si>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</si>
  <si>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</si>
  <si>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</si>
  <si>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</si>
  <si>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</si>
  <si>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</si>
  <si>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</si>
  <si>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</si>
  <si>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</si>
  <si>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</si>
  <si>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</si>
  <si>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</si>
  <si>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</si>
  <si>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</si>
  <si>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</si>
  <si>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</si>
  <si>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</si>
  <si>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</si>
  <si>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</si>
  <si>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</si>
  <si>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</si>
  <si>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</si>
  <si>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</si>
  <si>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</si>
  <si>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</si>
  <si>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</si>
  <si>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</si>
  <si>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</si>
  <si>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</si>
  <si>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</si>
  <si>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</si>
  <si>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</si>
  <si>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</si>
  <si>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</si>
  <si>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</si>
  <si>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</si>
  <si>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</si>
  <si>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</si>
  <si>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</si>
  <si>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</si>
  <si>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</si>
  <si>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</si>
  <si>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</si>
  <si>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</si>
  <si>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</si>
  <si>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</si>
  <si>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</si>
  <si>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</si>
  <si>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</si>
  <si>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</si>
  <si>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</si>
  <si>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</si>
  <si>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</si>
  <si>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</si>
  <si>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</si>
  <si>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</si>
  <si>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</si>
  <si>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</si>
  <si>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</si>
  <si>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</si>
  <si>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</si>
  <si>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</si>
  <si>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</si>
  <si>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</si>
  <si>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</si>
  <si>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</si>
  <si>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</si>
  <si>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</si>
  <si>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</si>
  <si>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</si>
  <si>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</si>
  <si>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</si>
  <si>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</si>
  <si>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</si>
  <si>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</si>
  <si>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</si>
  <si>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</si>
  <si>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</si>
  <si>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</si>
  <si>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</si>
  <si>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</si>
  <si>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</si>
  <si>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</si>
  <si>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</si>
  <si>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</si>
  <si>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</si>
  <si>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</si>
  <si>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</si>
  <si>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</si>
  <si>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</si>
  <si>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</si>
  <si>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</si>
  <si>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</si>
  <si>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</si>
  <si>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</si>
  <si>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</si>
  <si>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</si>
  <si>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</si>
  <si>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</si>
  <si>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</si>
  <si>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</si>
  <si>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</si>
  <si>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</si>
  <si>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</si>
  <si>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</si>
  <si>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</si>
  <si>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</si>
  <si>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</si>
  <si>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</si>
  <si>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</si>
  <si>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</si>
  <si>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</si>
  <si>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</si>
  <si>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</si>
  <si>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</si>
  <si>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</si>
  <si>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</si>
  <si>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</si>
  <si>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</si>
  <si>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</si>
  <si>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</si>
  <si>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</si>
  <si>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</si>
  <si>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</si>
  <si>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</si>
  <si>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</si>
  <si>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</si>
  <si>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</si>
  <si>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</si>
  <si>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</si>
  <si>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</si>
  <si>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</si>
  <si>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</si>
  <si>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</si>
  <si>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</si>
  <si>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</si>
  <si>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</si>
  <si>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</si>
  <si>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</si>
  <si>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</si>
  <si>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</si>
  <si>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</si>
  <si>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</si>
  <si>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</si>
  <si>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</si>
  <si>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</si>
  <si>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</si>
  <si>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</si>
  <si>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</si>
  <si>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</si>
  <si>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</si>
  <si>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</si>
  <si>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</si>
  <si>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</si>
  <si>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</si>
  <si>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</si>
  <si>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</si>
  <si>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</si>
  <si>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</si>
  <si>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</si>
  <si>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</si>
  <si>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</si>
  <si>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</si>
  <si>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</si>
  <si>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</si>
  <si>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</si>
  <si>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</si>
  <si>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</si>
  <si>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</si>
  <si>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</si>
  <si>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</si>
  <si>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</si>
  <si>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</si>
  <si>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</si>
  <si>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</si>
  <si>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</si>
  <si>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</si>
  <si>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</si>
  <si>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</si>
  <si>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</si>
  <si>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</si>
  <si>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</si>
  <si>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</si>
  <si>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</si>
  <si>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</si>
  <si>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</si>
  <si>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</si>
  <si>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</si>
  <si>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</si>
  <si>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</si>
  <si>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</si>
  <si>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</si>
  <si>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</si>
  <si>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</si>
  <si>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</si>
  <si>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</si>
  <si>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</si>
  <si>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</si>
  <si>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</si>
  <si>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</si>
  <si>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</si>
  <si>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</si>
  <si>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</si>
  <si>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</si>
  <si>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</si>
  <si>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</si>
  <si>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</si>
  <si>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</si>
  <si>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</si>
  <si>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</si>
  <si>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</si>
  <si>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</si>
  <si>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</si>
  <si>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</si>
  <si>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</si>
  <si>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</si>
  <si>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</si>
  <si>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</si>
  <si>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</si>
  <si>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</si>
  <si>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</si>
  <si>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</si>
  <si>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</si>
  <si>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</si>
  <si>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</si>
  <si>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</si>
  <si>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</si>
  <si>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</si>
  <si>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</si>
  <si>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</si>
  <si>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</si>
  <si>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</si>
  <si>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</si>
  <si>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</si>
  <si>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</si>
  <si>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</si>
  <si>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</si>
  <si>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</si>
  <si>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</si>
  <si>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</si>
  <si>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</si>
  <si>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</si>
  <si>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</si>
  <si>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</si>
  <si>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</si>
  <si>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</si>
  <si>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</si>
  <si>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</si>
  <si>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</si>
  <si>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</si>
  <si>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</si>
  <si>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</si>
  <si>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</si>
  <si>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</si>
  <si>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</si>
  <si>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</si>
  <si>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</si>
  <si>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</si>
  <si>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</si>
  <si>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</si>
  <si>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</si>
  <si>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</si>
  <si>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</si>
  <si>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</si>
  <si>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</si>
  <si>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</si>
  <si>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</si>
  <si>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</si>
  <si>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</si>
  <si>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</si>
  <si>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</si>
  <si>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</si>
  <si>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</si>
  <si>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</si>
  <si>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</si>
  <si>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</si>
  <si>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</si>
  <si>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</si>
  <si>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</si>
  <si>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</si>
  <si>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</si>
  <si>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</si>
  <si>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</si>
  <si>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</si>
  <si>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</si>
  <si>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</si>
  <si>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</si>
  <si>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</si>
  <si>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</si>
  <si>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</si>
  <si>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</si>
  <si>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</si>
  <si>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</si>
  <si>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</si>
  <si>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</si>
  <si>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</si>
  <si>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</si>
  <si>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</si>
  <si>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</si>
  <si>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</si>
  <si>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</si>
  <si>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</si>
  <si>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</si>
  <si>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</si>
  <si>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</si>
  <si>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</si>
  <si>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</si>
  <si>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</si>
  <si>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</si>
  <si>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</si>
  <si>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</si>
  <si>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</si>
  <si>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</si>
  <si>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</si>
  <si>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</si>
  <si>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</si>
  <si>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</si>
  <si>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</si>
  <si>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</si>
  <si>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</si>
  <si>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</si>
  <si>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</si>
  <si>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</si>
  <si>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</si>
  <si>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</si>
  <si>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</si>
  <si>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</si>
  <si>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</si>
  <si>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</si>
  <si>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</si>
  <si>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</si>
  <si>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</si>
  <si>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</si>
  <si>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</si>
  <si>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</si>
  <si>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</si>
  <si>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</si>
  <si>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</si>
  <si>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</si>
  <si>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</si>
  <si>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</si>
  <si>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</si>
  <si>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</si>
  <si>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</si>
  <si>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</si>
  <si>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</si>
  <si>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</si>
  <si>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</si>
  <si>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</si>
  <si>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</si>
  <si>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</si>
  <si>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</si>
  <si>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</si>
  <si>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</si>
  <si>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</si>
  <si>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</si>
  <si>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</si>
  <si>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</si>
  <si>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</si>
  <si>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</si>
  <si>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</si>
  <si>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</si>
  <si>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</si>
  <si>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</si>
  <si>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</si>
  <si>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</si>
  <si>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</si>
  <si>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</si>
  <si>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</si>
  <si>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</si>
  <si>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</si>
  <si>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</si>
  <si>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</si>
  <si>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</si>
  <si>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</si>
  <si>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</si>
  <si>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</si>
  <si>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</si>
  <si>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</si>
  <si>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</si>
  <si>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</si>
  <si>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</si>
  <si>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</si>
  <si>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</si>
  <si>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</si>
  <si>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</si>
  <si>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</si>
  <si>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</si>
  <si>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</si>
  <si>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</si>
  <si>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</si>
  <si>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</si>
  <si>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</si>
  <si>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</si>
  <si>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</si>
  <si>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</si>
  <si>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</si>
  <si>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</si>
  <si>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</si>
  <si>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</si>
  <si>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</si>
  <si>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</si>
  <si>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</si>
  <si>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</si>
  <si>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</si>
  <si>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</si>
  <si>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</si>
  <si>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</si>
  <si>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</si>
  <si>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</si>
  <si>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</si>
  <si>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</si>
  <si>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</si>
  <si>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</si>
  <si>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</si>
  <si>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</si>
  <si>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</si>
  <si>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</si>
  <si>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</si>
  <si>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</si>
  <si>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</si>
  <si>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</si>
  <si>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</si>
  <si>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</si>
  <si>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</si>
  <si>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</si>
  <si>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</si>
  <si>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</si>
  <si>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</si>
  <si>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</si>
  <si>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</si>
  <si>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</si>
  <si>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</si>
  <si>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</si>
  <si>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</si>
  <si>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</si>
  <si>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</si>
  <si>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</si>
  <si>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</si>
  <si>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</si>
  <si>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</si>
  <si>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</si>
  <si>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</si>
  <si>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</si>
  <si>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</si>
  <si>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</si>
  <si>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</si>
  <si>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</si>
  <si>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</si>
  <si>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</si>
  <si>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</si>
  <si>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</si>
  <si>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</si>
  <si>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</si>
  <si>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</si>
  <si>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</si>
  <si>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</si>
  <si>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</si>
  <si>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</si>
  <si>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</si>
  <si>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</si>
  <si>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</si>
  <si>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</si>
  <si>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</si>
  <si>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</si>
  <si>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</si>
  <si>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</si>
  <si>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</si>
  <si>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</si>
  <si>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</si>
  <si>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</si>
  <si>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</si>
  <si>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</si>
  <si>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</si>
  <si>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</si>
  <si>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</si>
  <si>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</si>
  <si>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</si>
  <si>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</si>
  <si>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</si>
  <si>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</si>
  <si>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</si>
  <si>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</si>
  <si>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</si>
  <si>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</si>
  <si>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</si>
  <si>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</si>
  <si>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</si>
  <si>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</si>
  <si>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</si>
  <si>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</si>
  <si>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</si>
  <si>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</si>
  <si>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</si>
  <si>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</si>
  <si>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</si>
  <si>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</si>
  <si>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</si>
  <si>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</si>
  <si>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</si>
  <si>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</si>
  <si>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</si>
  <si>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</si>
  <si>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</si>
  <si>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</si>
  <si>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</si>
  <si>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</si>
  <si>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</si>
  <si>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</si>
  <si>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</si>
  <si>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</si>
  <si>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</si>
  <si>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</si>
  <si>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</si>
  <si>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</si>
  <si>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</si>
  <si>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</si>
  <si>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</si>
  <si>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</si>
  <si>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</si>
  <si>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</si>
  <si>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</si>
  <si>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</si>
  <si>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</si>
  <si>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</si>
  <si>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</si>
  <si>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</si>
  <si>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</si>
  <si>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</si>
  <si>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</si>
  <si>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</si>
  <si>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</si>
  <si>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</si>
  <si>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</si>
  <si>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</si>
  <si>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</si>
  <si>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</si>
  <si>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</si>
  <si>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</si>
  <si>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</si>
  <si>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</si>
  <si>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</si>
  <si>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</si>
  <si>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</si>
  <si>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</si>
  <si>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</si>
  <si>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</si>
  <si>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</si>
  <si>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</si>
  <si>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</si>
  <si>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</si>
  <si>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</si>
  <si>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</si>
  <si>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</si>
  <si>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</si>
  <si>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</si>
  <si>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</si>
  <si>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</si>
  <si>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</si>
  <si>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</si>
  <si>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</si>
  <si>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</si>
  <si>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</si>
  <si>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</si>
  <si>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</si>
  <si>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</si>
  <si>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</si>
  <si>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</si>
  <si>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</si>
  <si>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</si>
  <si>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</si>
  <si>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</si>
  <si>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</si>
  <si>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</si>
  <si>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</si>
  <si>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</si>
  <si>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</si>
  <si>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</si>
  <si>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</si>
  <si>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</si>
  <si>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</si>
  <si>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</si>
  <si>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</si>
  <si>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</si>
  <si>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</si>
  <si>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</si>
  <si>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</si>
  <si>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</si>
  <si>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</si>
  <si>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</si>
  <si>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</si>
  <si>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</si>
  <si>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</si>
  <si>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</si>
  <si>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</si>
  <si>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</si>
  <si>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</si>
  <si>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</si>
  <si>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</si>
  <si>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</si>
  <si>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</si>
  <si>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</si>
  <si>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</si>
  <si>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</si>
  <si>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</si>
  <si>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</si>
  <si>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</si>
  <si>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</si>
  <si>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</si>
  <si>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</si>
  <si>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</si>
  <si>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</si>
  <si>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</si>
  <si>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</si>
  <si>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</si>
  <si>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</si>
  <si>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</si>
  <si>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</si>
  <si>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</si>
  <si>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</si>
  <si>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</si>
  <si>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</si>
  <si>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</si>
  <si>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</si>
  <si>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</si>
  <si>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</si>
  <si>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</si>
  <si>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</si>
  <si>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</si>
  <si>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</si>
  <si>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</si>
  <si>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</si>
  <si>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</si>
  <si>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</si>
  <si>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</si>
  <si>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</si>
  <si>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</si>
  <si>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</si>
  <si>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</si>
  <si>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</si>
  <si>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</si>
  <si>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</si>
  <si>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</si>
  <si>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</si>
  <si>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</si>
  <si>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</si>
  <si>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</si>
  <si>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</si>
  <si>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</si>
  <si>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</si>
  <si>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</si>
  <si>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</si>
  <si>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</si>
  <si>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</si>
  <si>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</si>
  <si>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</si>
  <si>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</si>
  <si>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</si>
  <si>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</si>
  <si>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</si>
  <si>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</si>
  <si>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</si>
  <si>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</si>
  <si>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</si>
  <si>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</si>
  <si>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</si>
  <si>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</si>
  <si>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</si>
  <si>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</si>
  <si>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</si>
  <si>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</si>
  <si>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</si>
  <si>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</si>
  <si>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</si>
  <si>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</si>
  <si>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</si>
  <si>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</si>
  <si>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</si>
  <si>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</si>
  <si>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</si>
  <si>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</si>
  <si>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</si>
  <si>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</si>
  <si>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</si>
  <si>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</si>
  <si>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</si>
  <si>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</si>
  <si>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</si>
  <si>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</si>
  <si>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</si>
  <si>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</si>
  <si>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</si>
  <si>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</si>
  <si>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</si>
  <si>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</si>
  <si>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</si>
  <si>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</si>
  <si>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</si>
  <si>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</si>
  <si>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</si>
  <si>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</si>
  <si>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</si>
  <si>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</si>
  <si>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</si>
  <si>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</si>
  <si>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</si>
  <si>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</si>
  <si>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</si>
  <si>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</si>
  <si>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</si>
  <si>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</si>
  <si>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</si>
  <si>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</si>
  <si>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</si>
  <si>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</si>
  <si>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</si>
  <si>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</si>
  <si>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</si>
  <si>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</si>
  <si>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</si>
  <si>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</si>
  <si>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</si>
  <si>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</si>
  <si>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</si>
  <si>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</si>
  <si>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</si>
  <si>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</si>
  <si>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</si>
  <si>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</si>
  <si>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</si>
  <si>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</si>
  <si>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</si>
  <si>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</si>
  <si>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</si>
  <si>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</si>
  <si>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</si>
  <si>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</si>
  <si>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</si>
  <si>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</si>
  <si>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</si>
  <si>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</si>
  <si>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</si>
  <si>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</si>
  <si>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</si>
  <si>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</si>
  <si>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</si>
  <si>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</si>
  <si>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</si>
  <si>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</si>
  <si>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</si>
  <si>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</si>
  <si>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</si>
  <si>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</si>
  <si>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</si>
  <si>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</si>
  <si>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</si>
  <si>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</si>
  <si>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</si>
  <si>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</si>
  <si>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</si>
  <si>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</si>
  <si>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</si>
  <si>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</si>
  <si>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</si>
  <si>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</si>
  <si>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</si>
  <si>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</si>
  <si>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</si>
  <si>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</si>
  <si>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</si>
  <si>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</si>
  <si>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</si>
  <si>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</si>
  <si>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</si>
  <si>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</si>
  <si>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</si>
  <si>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</si>
  <si>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</si>
  <si>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</si>
  <si>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</si>
  <si>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</si>
  <si>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</si>
  <si>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</si>
  <si>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</si>
  <si>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</si>
  <si>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</si>
  <si>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</si>
  <si>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</si>
  <si>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</si>
  <si>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</si>
  <si>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</si>
  <si>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</si>
  <si>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</si>
  <si>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</si>
  <si>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</si>
  <si>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</si>
  <si>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</si>
  <si>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</si>
  <si>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</si>
  <si>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</si>
  <si>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</si>
  <si>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</si>
  <si>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</si>
  <si>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</si>
  <si>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</si>
  <si>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</si>
  <si>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</si>
  <si>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</si>
  <si>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</si>
  <si>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</si>
  <si>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</si>
  <si>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</si>
  <si>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</si>
  <si>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</si>
  <si>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</si>
  <si>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</si>
  <si>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</si>
  <si>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</si>
  <si>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</si>
  <si>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</si>
  <si>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</si>
  <si>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</si>
  <si>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</si>
  <si>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</si>
  <si>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</si>
  <si>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</si>
  <si>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</si>
  <si>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</si>
  <si>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</si>
  <si>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</si>
  <si>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</si>
  <si>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</si>
  <si>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</si>
  <si>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</si>
  <si>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</si>
  <si>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</si>
  <si>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</si>
  <si>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</si>
  <si>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</si>
  <si>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</si>
  <si>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</si>
  <si>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</si>
  <si>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</si>
  <si>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</si>
  <si>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</si>
  <si>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</si>
  <si>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</si>
  <si>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</si>
  <si>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</si>
  <si>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</si>
  <si>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</si>
  <si>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</si>
  <si>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</si>
  <si>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</si>
  <si>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</si>
  <si>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</si>
  <si>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</si>
  <si>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</si>
  <si>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</si>
  <si>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</si>
  <si>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</si>
  <si>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</si>
  <si>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</si>
  <si>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</si>
  <si>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</si>
  <si>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</si>
  <si>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</si>
  <si>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</si>
  <si>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</si>
  <si>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</si>
  <si>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</si>
  <si>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</si>
  <si>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</si>
  <si>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</si>
  <si>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</si>
  <si>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</si>
  <si>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</si>
  <si>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</si>
  <si>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</si>
  <si>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</si>
  <si>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</si>
  <si>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</si>
  <si>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</si>
  <si>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</si>
  <si>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</si>
  <si>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</si>
  <si>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</si>
  <si>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</si>
  <si>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</si>
  <si>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</si>
  <si>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</si>
  <si>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</si>
  <si>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</si>
  <si>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</si>
  <si>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</si>
  <si>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</si>
  <si>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</si>
  <si>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</si>
  <si>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</si>
  <si>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</si>
  <si>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</si>
  <si>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</si>
  <si>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</si>
  <si>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</si>
  <si>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</si>
  <si>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</si>
  <si>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</si>
  <si>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</si>
  <si>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</si>
  <si>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</si>
  <si>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</si>
  <si>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</si>
  <si>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</si>
  <si>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</si>
  <si>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</si>
  <si>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</si>
  <si>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</si>
  <si>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</si>
  <si>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</si>
  <si>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</si>
  <si>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</si>
  <si>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</si>
  <si>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</si>
  <si>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</si>
  <si>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</si>
  <si>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</si>
  <si>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</si>
  <si>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</si>
  <si>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</si>
  <si>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</si>
  <si>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</si>
  <si>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</si>
  <si>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</si>
  <si>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</si>
  <si>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</si>
  <si>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</si>
  <si>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</si>
  <si>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</si>
  <si>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</si>
  <si>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</si>
  <si>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</si>
  <si>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</si>
  <si>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</si>
  <si>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</si>
  <si>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</si>
  <si>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</si>
  <si>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</si>
  <si>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</si>
  <si>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</si>
  <si>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</si>
  <si>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</si>
  <si>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</si>
  <si>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</si>
  <si>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</si>
  <si>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</si>
  <si>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</si>
  <si>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</si>
  <si>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</si>
  <si>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</si>
  <si>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</si>
  <si>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</si>
  <si>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</si>
  <si>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</si>
  <si>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</si>
  <si>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</si>
  <si>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</si>
  <si>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</si>
  <si>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</si>
  <si>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</si>
  <si>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</si>
  <si>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</si>
  <si>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</si>
  <si>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</si>
  <si>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</si>
  <si>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</si>
  <si>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</si>
  <si>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</si>
  <si>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</si>
  <si>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</si>
  <si>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</si>
  <si>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</si>
  <si>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</si>
  <si>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</si>
  <si>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</si>
  <si>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</si>
  <si>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</si>
  <si>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</si>
  <si>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</si>
  <si>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</si>
  <si>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</si>
  <si>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</si>
  <si>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</si>
  <si>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</si>
  <si>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</si>
  <si>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</si>
  <si>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</si>
  <si>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</si>
  <si>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</si>
  <si>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</si>
  <si>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</si>
  <si>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</si>
  <si>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</si>
  <si>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</si>
  <si>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</si>
  <si>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</si>
  <si>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</si>
  <si>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</si>
  <si>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</si>
  <si>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</si>
  <si>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</si>
  <si>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</si>
  <si>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</si>
  <si>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</si>
  <si>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</si>
  <si>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</si>
  <si>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</si>
  <si>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</si>
  <si>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</si>
  <si>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</si>
  <si>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</si>
  <si>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</si>
  <si>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</si>
  <si>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</si>
  <si>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</si>
  <si>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</si>
  <si>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</si>
  <si>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</si>
  <si>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</si>
  <si>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</si>
  <si>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</si>
  <si>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</si>
  <si>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</si>
  <si>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</si>
  <si>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</si>
  <si>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</si>
  <si>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</si>
  <si>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</si>
  <si>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</si>
  <si>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</si>
  <si>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</si>
  <si>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</si>
  <si>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</si>
  <si>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</si>
  <si>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</si>
  <si>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</si>
  <si>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</si>
  <si>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</si>
  <si>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</si>
  <si>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</si>
  <si>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</si>
  <si>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</si>
  <si>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</si>
  <si>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</si>
  <si>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</si>
  <si>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</si>
  <si>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</si>
  <si>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</si>
  <si>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</si>
  <si>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</si>
  <si>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</si>
  <si>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</si>
  <si>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</si>
  <si>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</si>
  <si>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</si>
  <si>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</si>
  <si>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</si>
  <si>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</si>
  <si>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</si>
  <si>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</si>
  <si>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</si>
  <si>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</si>
  <si>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</si>
  <si>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</si>
  <si>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</si>
  <si>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</si>
  <si>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</si>
  <si>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</si>
  <si>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</si>
  <si>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</si>
  <si>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</si>
  <si>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</si>
  <si>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</si>
  <si>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</si>
  <si>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</si>
  <si>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</si>
  <si>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</si>
  <si>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</si>
  <si>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</si>
  <si>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</si>
  <si>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</si>
  <si>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</si>
  <si>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</si>
  <si>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</si>
  <si>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</si>
  <si>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</si>
  <si>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</si>
  <si>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</si>
  <si>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</si>
  <si>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</si>
  <si>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</si>
  <si>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</si>
  <si>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</si>
  <si>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</si>
  <si>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</si>
  <si>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</si>
  <si>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</si>
  <si>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</si>
  <si>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</si>
  <si>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</si>
  <si>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</si>
  <si>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</si>
  <si>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</si>
  <si>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</si>
  <si>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</si>
  <si>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</si>
  <si>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</si>
  <si>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</si>
  <si>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</si>
  <si>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</si>
  <si>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</si>
  <si>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</si>
  <si>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</si>
  <si>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</si>
  <si>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</si>
  <si>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</si>
  <si>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</si>
  <si>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</si>
  <si>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</si>
  <si>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</si>
  <si>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</si>
  <si>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</si>
  <si>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</si>
  <si>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</si>
  <si>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</si>
  <si>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</si>
  <si>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</si>
  <si>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</si>
  <si>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</si>
  <si>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</si>
  <si>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</si>
  <si>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</si>
  <si>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</si>
  <si>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</si>
  <si>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</si>
  <si>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</si>
  <si>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</si>
  <si>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</si>
  <si>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</si>
  <si>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</si>
  <si>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</si>
  <si>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</si>
  <si>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</si>
  <si>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</si>
  <si>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</si>
  <si>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</si>
  <si>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</si>
  <si>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</si>
  <si>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</si>
  <si>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</si>
  <si>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</si>
  <si>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</si>
  <si>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</si>
  <si>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</si>
  <si>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</si>
  <si>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</si>
  <si>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</si>
  <si>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</si>
  <si>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</si>
  <si>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</si>
  <si>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</si>
  <si>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</si>
  <si>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</si>
  <si>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</si>
  <si>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</si>
  <si>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</si>
  <si>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</si>
  <si>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</si>
  <si>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</si>
  <si>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</si>
  <si>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</si>
  <si>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</si>
  <si>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</si>
  <si>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</si>
  <si>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</si>
  <si>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</si>
  <si>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</si>
  <si>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</si>
  <si>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</si>
  <si>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</si>
  <si>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</si>
  <si>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</si>
  <si>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</si>
  <si>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</si>
  <si>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</si>
  <si>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</si>
  <si>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</si>
  <si>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</si>
  <si>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</si>
  <si>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</si>
  <si>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</si>
  <si>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</si>
  <si>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</si>
  <si>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</si>
  <si>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</si>
  <si>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</si>
  <si>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</si>
  <si>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</si>
  <si>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</si>
  <si>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</si>
  <si>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</si>
  <si>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</si>
  <si>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</si>
  <si>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</si>
  <si>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</si>
  <si>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</si>
  <si>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</si>
  <si>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</si>
  <si>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</si>
  <si>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</si>
  <si>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</si>
  <si>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</si>
  <si>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</si>
  <si>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</si>
  <si>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</si>
  <si>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</si>
  <si>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</si>
  <si>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</si>
  <si>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</si>
  <si>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</si>
  <si>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</si>
  <si>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</si>
  <si>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</si>
  <si>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</si>
  <si>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</si>
  <si>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</si>
  <si>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</si>
  <si>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</si>
  <si>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</si>
  <si>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</si>
  <si>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</si>
  <si>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</si>
  <si>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</si>
  <si>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</si>
  <si>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</si>
  <si>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</si>
  <si>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</si>
  <si>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</si>
  <si>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</si>
  <si>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</si>
  <si>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</si>
  <si>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</si>
  <si>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</si>
  <si>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</si>
  <si>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</si>
  <si>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</si>
  <si>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</si>
  <si>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</si>
  <si>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</si>
  <si>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</si>
  <si>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</si>
  <si>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</si>
  <si>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</si>
  <si>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</si>
  <si>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</si>
  <si>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</si>
  <si>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</si>
  <si>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</si>
  <si>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</si>
  <si>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</si>
  <si>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</si>
  <si>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</si>
  <si>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</si>
  <si>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</si>
  <si>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</si>
  <si>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</si>
  <si>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</si>
  <si>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</si>
  <si>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</si>
  <si>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</si>
  <si>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</si>
  <si>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</si>
  <si>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</si>
  <si>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</si>
  <si>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</si>
  <si>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</si>
  <si>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</si>
  <si>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</si>
  <si>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</si>
  <si>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</si>
  <si>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</si>
  <si>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</si>
  <si>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</si>
  <si>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</si>
  <si>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</si>
  <si>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</si>
  <si>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</si>
  <si>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</si>
  <si>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</si>
  <si>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</si>
  <si>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</si>
  <si>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</si>
  <si>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</si>
  <si>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</si>
  <si>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</si>
  <si>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</si>
  <si>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</si>
  <si>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</si>
  <si>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</si>
  <si>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</si>
  <si>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</si>
  <si>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</si>
  <si>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</si>
  <si>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</si>
  <si>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</si>
  <si>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</si>
  <si>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</si>
  <si>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</si>
  <si>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</si>
  <si>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</si>
  <si>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</si>
  <si>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</si>
  <si>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</si>
  <si>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</si>
  <si>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</si>
  <si>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</si>
  <si>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</si>
  <si>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</si>
  <si>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</si>
  <si>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</si>
  <si>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</si>
  <si>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</si>
  <si>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</si>
  <si>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</si>
  <si>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</si>
  <si>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</si>
  <si>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</si>
  <si>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</si>
  <si>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</si>
  <si>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</si>
  <si>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</si>
  <si>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</si>
  <si>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</si>
  <si>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</si>
  <si>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</si>
  <si>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</si>
  <si>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</si>
  <si>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</si>
  <si>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</si>
  <si>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</si>
  <si>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</si>
  <si>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</si>
  <si>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</si>
  <si>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</si>
  <si>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</si>
  <si>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</si>
  <si>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</si>
  <si>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</si>
  <si>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</si>
  <si>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</si>
  <si>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</si>
  <si>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</si>
  <si>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</si>
  <si>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</si>
  <si>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</si>
  <si>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</si>
  <si>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</si>
  <si>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</si>
  <si>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</si>
  <si>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</si>
  <si>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</si>
  <si>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</si>
  <si>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</si>
  <si>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</si>
  <si>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</si>
  <si>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</si>
  <si>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</si>
  <si>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</si>
  <si>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</si>
  <si>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</si>
  <si>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</si>
  <si>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</si>
  <si>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</si>
  <si>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</si>
  <si>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</si>
  <si>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</si>
  <si>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</si>
  <si>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</si>
  <si>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</si>
  <si>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</si>
  <si>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</si>
  <si>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</si>
  <si>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</si>
  <si>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</si>
  <si>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</si>
  <si>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</si>
  <si>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</si>
  <si>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</si>
  <si>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</si>
  <si>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</si>
  <si>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</si>
  <si>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</si>
  <si>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</si>
  <si>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</si>
  <si>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</si>
  <si>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</si>
  <si>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</si>
  <si>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</si>
  <si>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</si>
  <si>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</si>
  <si>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</si>
  <si>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</si>
  <si>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</si>
  <si>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</si>
  <si>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</si>
  <si>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</si>
  <si>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</si>
  <si>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</si>
  <si>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</si>
  <si>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</si>
  <si>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</si>
  <si>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</si>
  <si>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</si>
  <si>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</si>
  <si>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</si>
  <si>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</si>
  <si>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</si>
  <si>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</si>
  <si>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</si>
  <si>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</si>
  <si>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</si>
  <si>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</si>
  <si>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</si>
  <si>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</si>
  <si>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</si>
  <si>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</si>
  <si>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</si>
  <si>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</si>
  <si>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</si>
  <si>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</si>
  <si>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</si>
  <si>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</si>
  <si>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</si>
  <si>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</si>
  <si>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</si>
  <si>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</si>
  <si>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</si>
  <si>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</si>
  <si>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</si>
  <si>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</si>
  <si>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</si>
  <si>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</si>
  <si>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</si>
  <si>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</si>
  <si>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</si>
  <si>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</si>
  <si>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</si>
  <si>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</si>
  <si>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</si>
  <si>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</si>
  <si>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</si>
  <si>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</si>
  <si>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</si>
  <si>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</si>
  <si>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</si>
  <si>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</si>
  <si>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</si>
  <si>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</si>
  <si>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</si>
  <si>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</si>
  <si>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</si>
  <si>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</si>
  <si>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</si>
  <si>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</si>
  <si>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</si>
  <si>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</si>
  <si>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</si>
  <si>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</si>
  <si>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</si>
  <si>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</si>
  <si>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</si>
  <si>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</si>
  <si>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</si>
  <si>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</si>
  <si>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</si>
  <si>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</si>
  <si>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</si>
  <si>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</si>
  <si>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</si>
  <si>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</si>
  <si>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</si>
  <si>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</si>
  <si>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</si>
  <si>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</si>
  <si>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</si>
  <si>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</si>
  <si>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</si>
  <si>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</si>
  <si>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</si>
  <si>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</si>
  <si>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</si>
  <si>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</si>
  <si>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</si>
  <si>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</si>
  <si>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</si>
  <si>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</si>
  <si>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</si>
  <si>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</si>
  <si>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</si>
  <si>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</si>
  <si>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</si>
  <si>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</si>
  <si>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</si>
  <si>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</si>
  <si>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</si>
  <si>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</si>
  <si>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</si>
  <si>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</si>
  <si>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</si>
  <si>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</si>
  <si>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</si>
  <si>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</si>
  <si>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</si>
  <si>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</si>
  <si>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</si>
  <si>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</si>
  <si>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</si>
  <si>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</si>
  <si>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</si>
  <si>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</si>
  <si>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</si>
  <si>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</si>
  <si>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</si>
  <si>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</si>
  <si>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</si>
  <si>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</si>
  <si>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</si>
  <si>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</si>
  <si>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</si>
  <si>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</si>
  <si>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</si>
  <si>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</si>
  <si>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</si>
  <si>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</si>
  <si>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</si>
  <si>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</si>
  <si>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</si>
  <si>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</si>
  <si>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</si>
  <si>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</si>
  <si>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</si>
  <si>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</si>
  <si>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</si>
  <si>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</si>
  <si>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</si>
  <si>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</si>
  <si>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</si>
  <si>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</si>
  <si>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</si>
  <si>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</si>
  <si>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</si>
  <si>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</si>
  <si>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</si>
  <si>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</si>
  <si>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</si>
  <si>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</si>
  <si>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</si>
  <si>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</si>
  <si>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</si>
  <si>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</si>
  <si>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</si>
  <si>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</si>
  <si>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</si>
  <si>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</si>
  <si>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</si>
  <si>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</si>
  <si>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</si>
  <si>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</si>
  <si>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</si>
  <si>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</si>
  <si>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</si>
  <si>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</si>
  <si>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</si>
  <si>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</si>
  <si>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</si>
  <si>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</si>
  <si>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</si>
  <si>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</si>
  <si>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Ⅰ—01</t>
  </si>
  <si>
    <t>现房</t>
  </si>
  <si>
    <t>通路</t>
  </si>
  <si>
    <t>通电</t>
  </si>
  <si>
    <t>通讯</t>
  </si>
  <si>
    <t>通上水</t>
  </si>
  <si>
    <t>通下水</t>
  </si>
  <si>
    <t>通热</t>
  </si>
  <si>
    <t>燃气</t>
  </si>
  <si>
    <t>序号</t>
    <phoneticPr fontId="134" type="noConversion"/>
  </si>
  <si>
    <t>幢号</t>
    <phoneticPr fontId="134" type="noConversion"/>
  </si>
  <si>
    <t>所在层数</t>
    <phoneticPr fontId="134" type="noConversion"/>
  </si>
  <si>
    <t>总建筑面积</t>
    <phoneticPr fontId="134" type="noConversion"/>
  </si>
  <si>
    <t>地上</t>
    <phoneticPr fontId="134" type="noConversion"/>
  </si>
  <si>
    <t>地下办公</t>
    <phoneticPr fontId="134" type="noConversion"/>
  </si>
  <si>
    <t>分摊土地面积</t>
    <phoneticPr fontId="134" type="noConversion"/>
  </si>
  <si>
    <r>
      <t>1</t>
    </r>
    <r>
      <rPr>
        <sz val="11"/>
        <color theme="1"/>
        <rFont val="宋体"/>
        <family val="3"/>
        <charset val="134"/>
        <scheme val="minor"/>
      </rPr>
      <t>-2</t>
    </r>
    <phoneticPr fontId="134" type="noConversion"/>
  </si>
  <si>
    <r>
      <t>1</t>
    </r>
    <r>
      <rPr>
        <sz val="11"/>
        <color theme="1"/>
        <rFont val="宋体"/>
        <family val="3"/>
        <charset val="134"/>
        <scheme val="minor"/>
      </rPr>
      <t>-3</t>
    </r>
    <phoneticPr fontId="134" type="noConversion"/>
  </si>
  <si>
    <t>1</t>
    <phoneticPr fontId="134" type="noConversion"/>
  </si>
  <si>
    <t>负1-3</t>
    <phoneticPr fontId="134" type="noConversion"/>
  </si>
  <si>
    <t>负1-4</t>
  </si>
  <si>
    <t>建筑面积</t>
    <phoneticPr fontId="134" type="noConversion"/>
  </si>
  <si>
    <t>是</t>
  </si>
  <si>
    <t>办公</t>
    <phoneticPr fontId="3" type="noConversion"/>
  </si>
  <si>
    <t>地上</t>
  </si>
  <si>
    <t>地下</t>
  </si>
  <si>
    <t>成新度</t>
  </si>
  <si>
    <t>租期起</t>
    <phoneticPr fontId="134" type="noConversion"/>
  </si>
  <si>
    <t>租期止</t>
    <phoneticPr fontId="134" type="noConversion"/>
  </si>
  <si>
    <t>年租金</t>
    <phoneticPr fontId="134" type="noConversion"/>
  </si>
  <si>
    <t>总租金</t>
    <phoneticPr fontId="134" type="noConversion"/>
  </si>
  <si>
    <t>价值时点</t>
    <phoneticPr fontId="134" type="noConversion"/>
  </si>
  <si>
    <t>总面积</t>
    <phoneticPr fontId="134" type="noConversion"/>
  </si>
  <si>
    <t>租赁期内租金</t>
    <phoneticPr fontId="134" type="noConversion"/>
  </si>
  <si>
    <t>剩余租赁期</t>
    <phoneticPr fontId="134" type="noConversion"/>
  </si>
  <si>
    <t>租赁期内日租金</t>
    <phoneticPr fontId="134" type="noConversion"/>
  </si>
  <si>
    <t>收益法</t>
  </si>
  <si>
    <t>自定义</t>
  </si>
  <si>
    <t>押一</t>
  </si>
  <si>
    <t>非生产用房</t>
  </si>
  <si>
    <t>否</t>
  </si>
  <si>
    <t>砖混</t>
  </si>
  <si>
    <t>项目全部</t>
  </si>
  <si>
    <t>成本法</t>
  </si>
  <si>
    <t>商务金融用地</t>
  </si>
  <si>
    <t>估价对象容积率</t>
  </si>
  <si>
    <t>不临65条商业街</t>
  </si>
  <si>
    <t>与级别开发程度一致</t>
  </si>
  <si>
    <t>一般</t>
  </si>
  <si>
    <t>较好</t>
  </si>
  <si>
    <t>较差</t>
  </si>
  <si>
    <t>好</t>
  </si>
  <si>
    <t>未包含在土地购买价格中</t>
  </si>
  <si>
    <t>全部缴纳</t>
  </si>
  <si>
    <t>已包含在土地取得成本中</t>
  </si>
  <si>
    <t>总价</t>
  </si>
  <si>
    <t>成本比率</t>
  </si>
  <si>
    <t>结构</t>
    <phoneticPr fontId="134" type="noConversion"/>
  </si>
  <si>
    <t>混合</t>
    <phoneticPr fontId="134" type="noConversion"/>
  </si>
  <si>
    <t>建安单价</t>
    <phoneticPr fontId="134" type="noConversion"/>
  </si>
  <si>
    <t>装修</t>
    <phoneticPr fontId="134" type="noConversion"/>
  </si>
  <si>
    <t>基础</t>
    <phoneticPr fontId="134" type="noConversion"/>
  </si>
  <si>
    <t>总价</t>
    <phoneticPr fontId="134"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</si>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</sst>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1" xfId="0" applyBorder="1" applyAlignment="1">
      <alignment horizontal="left" vertical="center"/>
    </xf>
    <xf numFmtId="49" fontId="95" fillId="0" borderId="1" xfId="0" applyNumberFormat="1" applyFont="1" applyBorder="1" applyAlignment="1">
      <alignment horizontal="left" vertical="center"/>
    </xf>
    <xf numFmtId="49" fontId="0" fillId="0" borderId="1" xfId="0" applyNumberFormat="1" applyBorder="1" applyAlignment="1">
      <alignment horizontal="left" vertical="center"/>
    </xf>
    <xf numFmtId="0" fontId="77" fillId="0" borderId="1" xfId="0" applyFont="1" applyBorder="1" applyAlignment="1" applyProtection="1">
      <alignment horizontal="center" vertical="center" wrapText="1"/>
      <protection locked="0"/>
    </xf>
    <xf numFmtId="0" fontId="95" fillId="0" borderId="0" xfId="10">
      <alignment vertical="center"/>
    </xf>
    <xf numFmtId="14" fontId="95" fillId="5" borderId="0" xfId="10" applyNumberFormat="1" applyFill="1">
      <alignment vertical="center"/>
    </xf>
    <xf numFmtId="14" fontId="95" fillId="0" borderId="0" xfId="10" applyNumberFormat="1">
      <alignment vertical="center"/>
    </xf>
    <xf numFmtId="2" fontId="95" fillId="0" borderId="0" xfId="10" applyNumberFormat="1">
      <alignment vertical="center"/>
    </xf>
    <xf numFmtId="179" fontId="95" fillId="0" borderId="0" xfId="10" applyNumberFormat="1">
      <alignment vertical="center"/>
    </xf>
    <xf numFmtId="0" fontId="77" fillId="12" borderId="0" xfId="0" applyFont="1" applyFill="1" applyAlignment="1" applyProtection="1">
      <alignment horizontal="center" vertical="center"/>
      <protection locked="0"/>
    </xf>
    <xf numFmtId="0" fontId="128" fillId="12" borderId="0" xfId="0" applyFont="1" applyFill="1" applyProtection="1">
      <alignment vertical="center"/>
      <protection locked="0"/>
    </xf>
    <xf numFmtId="10" fontId="113" fillId="0" borderId="1" xfId="1" applyNumberFormat="1" applyFont="1" applyBorder="1" applyAlignment="1" applyProtection="1">
      <alignment horizontal="center" vertical="center"/>
      <protection locked="0"/>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81" fontId="100" fillId="0" borderId="5" xfId="0" applyNumberFormat="1" applyFont="1" applyBorder="1" applyProtection="1">
      <alignment vertical="center"/>
      <protection locked="0"/>
    </xf>
    <xf numFmtId="10" fontId="47" fillId="12" borderId="0" xfId="0" applyNumberFormat="1" applyFont="1" applyFill="1" applyProtection="1">
      <alignment vertical="center"/>
      <protection locked="0"/>
    </xf>
    <xf numFmtId="0" fontId="44" fillId="22" borderId="1" xfId="0"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0" fontId="0" fillId="22" borderId="1" xfId="0" applyFill="1" applyBorder="1" applyAlignment="1">
      <alignment horizontal="left" vertical="center"/>
    </xf>
    <xf numFmtId="0" fontId="44" fillId="22" borderId="3" xfId="0" applyFont="1" applyFill="1" applyBorder="1" applyProtection="1">
      <alignment vertical="center"/>
      <protection locked="0"/>
    </xf>
    <xf numFmtId="177" fontId="47" fillId="22" borderId="1" xfId="1" applyNumberFormat="1" applyFont="1" applyFill="1" applyBorder="1" applyAlignment="1" applyProtection="1">
      <alignment horizontal="center" vertical="center"/>
      <protection locked="0"/>
    </xf>
    <xf numFmtId="0" fontId="113" fillId="22" borderId="0" xfId="0" applyFont="1" applyFill="1" applyAlignment="1" applyProtection="1">
      <alignment horizontal="center"/>
      <protection locked="0"/>
    </xf>
    <xf numFmtId="0" fontId="52" fillId="22" borderId="13" xfId="0" applyFont="1" applyFill="1" applyBorder="1" applyAlignment="1">
      <alignment horizontal="center" vertical="center"/>
    </xf>
    <xf numFmtId="0" fontId="52" fillId="22" borderId="1" xfId="0"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85725</xdr:colOff>
      <xdr:row>0</xdr:row>
      <xdr:rowOff>0</xdr:rowOff>
    </xdr:from>
    <xdr:to>
      <xdr:col>20</xdr:col>
      <xdr:colOff>76200</xdr:colOff>
      <xdr:row>30</xdr:row>
      <xdr:rowOff>125575</xdr:rowOff>
    </xdr:to>
    <xdr:pic>
      <xdr:nvPicPr>
        <xdr:cNvPr id="2" name="图片 1">
          <a:extLst>
            <a:ext uri="{FF2B5EF4-FFF2-40B4-BE49-F238E27FC236}">
              <a16:creationId xmlns:a16="http://schemas.microsoft.com/office/drawing/2014/main" id="{27729A5E-CA45-3392-289F-662EC096E563}"/>
            </a:ext>
          </a:extLst>
        </xdr:cNvPr>
        <xdr:cNvPicPr>
          <a:picLocks noChangeAspect="1"/>
        </xdr:cNvPicPr>
      </xdr:nvPicPr>
      <xdr:blipFill>
        <a:blip xmlns:r="http://schemas.openxmlformats.org/officeDocument/2006/relationships" r:embed="rId1"/>
        <a:stretch>
          <a:fillRect/>
        </a:stretch>
      </xdr:blipFill>
      <xdr:spPr>
        <a:xfrm>
          <a:off x="9763125" y="0"/>
          <a:ext cx="4105275" cy="5269075"/>
        </a:xfrm>
        <a:prstGeom prst="rect">
          <a:avLst/>
        </a:prstGeom>
      </xdr:spPr>
    </xdr:pic>
    <xdr:clientData/>
  </xdr:twoCellAnchor>
  <xdr:twoCellAnchor editAs="oneCell">
    <xdr:from>
      <xdr:col>6</xdr:col>
      <xdr:colOff>219074</xdr:colOff>
      <xdr:row>25</xdr:row>
      <xdr:rowOff>19374</xdr:rowOff>
    </xdr:from>
    <xdr:to>
      <xdr:col>14</xdr:col>
      <xdr:colOff>37189</xdr:colOff>
      <xdr:row>60</xdr:row>
      <xdr:rowOff>141882</xdr:rowOff>
    </xdr:to>
    <xdr:pic>
      <xdr:nvPicPr>
        <xdr:cNvPr id="3" name="图片 2">
          <a:extLst>
            <a:ext uri="{FF2B5EF4-FFF2-40B4-BE49-F238E27FC236}">
              <a16:creationId xmlns:a16="http://schemas.microsoft.com/office/drawing/2014/main" id="{690613B1-625D-0C29-026A-2BEA4F998E2F}"/>
            </a:ext>
          </a:extLst>
        </xdr:cNvPr>
        <xdr:cNvPicPr>
          <a:picLocks noChangeAspect="1"/>
        </xdr:cNvPicPr>
      </xdr:nvPicPr>
      <xdr:blipFill>
        <a:blip xmlns:r="http://schemas.openxmlformats.org/officeDocument/2006/relationships" r:embed="rId2"/>
        <a:stretch>
          <a:fillRect/>
        </a:stretch>
      </xdr:blipFill>
      <xdr:spPr>
        <a:xfrm>
          <a:off x="3800474" y="4305624"/>
          <a:ext cx="5609315" cy="61232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899016</xdr:colOff>
      <xdr:row>34</xdr:row>
      <xdr:rowOff>117101</xdr:rowOff>
    </xdr:from>
    <xdr:to>
      <xdr:col>9</xdr:col>
      <xdr:colOff>511012</xdr:colOff>
      <xdr:row>57</xdr:row>
      <xdr:rowOff>21371</xdr:rowOff>
    </xdr:to>
    <xdr:pic>
      <xdr:nvPicPr>
        <xdr:cNvPr id="5" name="图片 4">
          <a:extLst>
            <a:ext uri="{FF2B5EF4-FFF2-40B4-BE49-F238E27FC236}">
              <a16:creationId xmlns:a16="http://schemas.microsoft.com/office/drawing/2014/main" id="{311A7A68-45D4-476D-916F-396D6CA6B8AF}"/>
            </a:ext>
          </a:extLst>
        </xdr:cNvPr>
        <xdr:cNvPicPr>
          <a:picLocks noChangeAspect="1"/>
        </xdr:cNvPicPr>
      </xdr:nvPicPr>
      <xdr:blipFill>
        <a:blip xmlns:r="http://schemas.openxmlformats.org/officeDocument/2006/relationships" r:embed="rId1"/>
        <a:stretch>
          <a:fillRect/>
        </a:stretch>
      </xdr:blipFill>
      <xdr:spPr>
        <a:xfrm>
          <a:off x="4081487" y="5832101"/>
          <a:ext cx="4296054" cy="3770299"/>
        </a:xfrm>
        <a:prstGeom prst="rect">
          <a:avLst/>
        </a:prstGeom>
      </xdr:spPr>
    </xdr:pic>
    <xdr:clientData/>
  </xdr:twoCellAnchor>
  <xdr:twoCellAnchor editAs="oneCell">
    <xdr:from>
      <xdr:col>0</xdr:col>
      <xdr:colOff>0</xdr:colOff>
      <xdr:row>18</xdr:row>
      <xdr:rowOff>91938</xdr:rowOff>
    </xdr:from>
    <xdr:to>
      <xdr:col>3</xdr:col>
      <xdr:colOff>931209</xdr:colOff>
      <xdr:row>53</xdr:row>
      <xdr:rowOff>135447</xdr:rowOff>
    </xdr:to>
    <xdr:pic>
      <xdr:nvPicPr>
        <xdr:cNvPr id="6" name="图片 5">
          <a:extLst>
            <a:ext uri="{FF2B5EF4-FFF2-40B4-BE49-F238E27FC236}">
              <a16:creationId xmlns:a16="http://schemas.microsoft.com/office/drawing/2014/main" id="{FFE68318-7923-468E-84A0-24BFAD16DA01}"/>
            </a:ext>
          </a:extLst>
        </xdr:cNvPr>
        <xdr:cNvPicPr>
          <a:picLocks noChangeAspect="1"/>
        </xdr:cNvPicPr>
      </xdr:nvPicPr>
      <xdr:blipFill>
        <a:blip xmlns:r="http://schemas.openxmlformats.org/officeDocument/2006/relationships" r:embed="rId2"/>
        <a:stretch>
          <a:fillRect/>
        </a:stretch>
      </xdr:blipFill>
      <xdr:spPr>
        <a:xfrm>
          <a:off x="0" y="3178038"/>
          <a:ext cx="4112559" cy="6044259"/>
        </a:xfrm>
        <a:prstGeom prst="rect">
          <a:avLst/>
        </a:prstGeom>
      </xdr:spPr>
    </xdr:pic>
    <xdr:clientData/>
  </xdr:twoCellAnchor>
  <xdr:twoCellAnchor editAs="oneCell">
    <xdr:from>
      <xdr:col>9</xdr:col>
      <xdr:colOff>530680</xdr:colOff>
      <xdr:row>0</xdr:row>
      <xdr:rowOff>108857</xdr:rowOff>
    </xdr:from>
    <xdr:to>
      <xdr:col>26</xdr:col>
      <xdr:colOff>494333</xdr:colOff>
      <xdr:row>35</xdr:row>
      <xdr:rowOff>111483</xdr:rowOff>
    </xdr:to>
    <xdr:pic>
      <xdr:nvPicPr>
        <xdr:cNvPr id="8" name="图片 7">
          <a:extLst>
            <a:ext uri="{FF2B5EF4-FFF2-40B4-BE49-F238E27FC236}">
              <a16:creationId xmlns:a16="http://schemas.microsoft.com/office/drawing/2014/main" id="{3C8131E5-DF11-2ED1-FD53-1584C079F7C3}"/>
            </a:ext>
          </a:extLst>
        </xdr:cNvPr>
        <xdr:cNvPicPr>
          <a:picLocks noChangeAspect="1"/>
        </xdr:cNvPicPr>
      </xdr:nvPicPr>
      <xdr:blipFill>
        <a:blip xmlns:r="http://schemas.openxmlformats.org/officeDocument/2006/relationships" r:embed="rId3"/>
        <a:stretch>
          <a:fillRect/>
        </a:stretch>
      </xdr:blipFill>
      <xdr:spPr>
        <a:xfrm>
          <a:off x="8368394" y="108857"/>
          <a:ext cx="11529725" cy="6193876"/>
        </a:xfrm>
        <a:prstGeom prst="rect">
          <a:avLst/>
        </a:prstGeom>
      </xdr:spPr>
    </xdr:pic>
    <xdr:clientData/>
  </xdr:twoCellAnchor>
  <xdr:twoCellAnchor editAs="oneCell">
    <xdr:from>
      <xdr:col>0</xdr:col>
      <xdr:colOff>0</xdr:colOff>
      <xdr:row>57</xdr:row>
      <xdr:rowOff>67236</xdr:rowOff>
    </xdr:from>
    <xdr:to>
      <xdr:col>14</xdr:col>
      <xdr:colOff>658533</xdr:colOff>
      <xdr:row>93</xdr:row>
      <xdr:rowOff>139868</xdr:rowOff>
    </xdr:to>
    <xdr:pic>
      <xdr:nvPicPr>
        <xdr:cNvPr id="9" name="图片 8">
          <a:extLst>
            <a:ext uri="{FF2B5EF4-FFF2-40B4-BE49-F238E27FC236}">
              <a16:creationId xmlns:a16="http://schemas.microsoft.com/office/drawing/2014/main" id="{6176462A-E1CD-BCE7-FDDD-E9A4412072BF}"/>
            </a:ext>
          </a:extLst>
        </xdr:cNvPr>
        <xdr:cNvPicPr>
          <a:picLocks noChangeAspect="1"/>
        </xdr:cNvPicPr>
      </xdr:nvPicPr>
      <xdr:blipFill>
        <a:blip xmlns:r="http://schemas.openxmlformats.org/officeDocument/2006/relationships" r:embed="rId4"/>
        <a:stretch>
          <a:fillRect/>
        </a:stretch>
      </xdr:blipFill>
      <xdr:spPr>
        <a:xfrm>
          <a:off x="0" y="9648265"/>
          <a:ext cx="11942857" cy="6123809"/>
        </a:xfrm>
        <a:prstGeom prst="rect">
          <a:avLst/>
        </a:prstGeom>
      </xdr:spPr>
    </xdr:pic>
    <xdr:clientData/>
  </xdr:twoCellAnchor>
  <xdr:twoCellAnchor editAs="oneCell">
    <xdr:from>
      <xdr:col>15</xdr:col>
      <xdr:colOff>0</xdr:colOff>
      <xdr:row>57</xdr:row>
      <xdr:rowOff>0</xdr:rowOff>
    </xdr:from>
    <xdr:to>
      <xdr:col>27</xdr:col>
      <xdr:colOff>530627</xdr:colOff>
      <xdr:row>104</xdr:row>
      <xdr:rowOff>23662</xdr:rowOff>
    </xdr:to>
    <xdr:pic>
      <xdr:nvPicPr>
        <xdr:cNvPr id="10" name="图片 9">
          <a:extLst>
            <a:ext uri="{FF2B5EF4-FFF2-40B4-BE49-F238E27FC236}">
              <a16:creationId xmlns:a16="http://schemas.microsoft.com/office/drawing/2014/main" id="{7CA63AE2-FB96-2208-134F-407193B970E8}"/>
            </a:ext>
          </a:extLst>
        </xdr:cNvPr>
        <xdr:cNvPicPr>
          <a:picLocks noChangeAspect="1"/>
        </xdr:cNvPicPr>
      </xdr:nvPicPr>
      <xdr:blipFill>
        <a:blip xmlns:r="http://schemas.openxmlformats.org/officeDocument/2006/relationships" r:embed="rId5"/>
        <a:stretch>
          <a:fillRect/>
        </a:stretch>
      </xdr:blipFill>
      <xdr:spPr>
        <a:xfrm>
          <a:off x="11967882" y="9581029"/>
          <a:ext cx="8733333" cy="7923809"/>
        </a:xfrm>
        <a:prstGeom prst="rect">
          <a:avLst/>
        </a:prstGeom>
      </xdr:spPr>
    </xdr:pic>
    <xdr:clientData/>
  </xdr:twoCellAnchor>
  <xdr:twoCellAnchor editAs="oneCell">
    <xdr:from>
      <xdr:col>0</xdr:col>
      <xdr:colOff>0</xdr:colOff>
      <xdr:row>129</xdr:row>
      <xdr:rowOff>165905</xdr:rowOff>
    </xdr:from>
    <xdr:to>
      <xdr:col>14</xdr:col>
      <xdr:colOff>353771</xdr:colOff>
      <xdr:row>166</xdr:row>
      <xdr:rowOff>112977</xdr:rowOff>
    </xdr:to>
    <xdr:pic>
      <xdr:nvPicPr>
        <xdr:cNvPr id="11" name="图片 10">
          <a:extLst>
            <a:ext uri="{FF2B5EF4-FFF2-40B4-BE49-F238E27FC236}">
              <a16:creationId xmlns:a16="http://schemas.microsoft.com/office/drawing/2014/main" id="{46918345-7A16-1D99-F691-C42CCCBBFEC9}"/>
            </a:ext>
          </a:extLst>
        </xdr:cNvPr>
        <xdr:cNvPicPr>
          <a:picLocks noChangeAspect="1"/>
        </xdr:cNvPicPr>
      </xdr:nvPicPr>
      <xdr:blipFill>
        <a:blip xmlns:r="http://schemas.openxmlformats.org/officeDocument/2006/relationships" r:embed="rId6"/>
        <a:stretch>
          <a:fillRect/>
        </a:stretch>
      </xdr:blipFill>
      <xdr:spPr>
        <a:xfrm>
          <a:off x="0" y="22985084"/>
          <a:ext cx="11593271" cy="6492107"/>
        </a:xfrm>
        <a:prstGeom prst="rect">
          <a:avLst/>
        </a:prstGeom>
      </xdr:spPr>
    </xdr:pic>
    <xdr:clientData/>
  </xdr:twoCellAnchor>
  <xdr:twoCellAnchor editAs="oneCell">
    <xdr:from>
      <xdr:col>14</xdr:col>
      <xdr:colOff>567789</xdr:colOff>
      <xdr:row>128</xdr:row>
      <xdr:rowOff>138544</xdr:rowOff>
    </xdr:from>
    <xdr:to>
      <xdr:col>27</xdr:col>
      <xdr:colOff>379964</xdr:colOff>
      <xdr:row>176</xdr:row>
      <xdr:rowOff>65215</xdr:rowOff>
    </xdr:to>
    <xdr:pic>
      <xdr:nvPicPr>
        <xdr:cNvPr id="12" name="图片 11">
          <a:extLst>
            <a:ext uri="{FF2B5EF4-FFF2-40B4-BE49-F238E27FC236}">
              <a16:creationId xmlns:a16="http://schemas.microsoft.com/office/drawing/2014/main" id="{64096FB6-0CF9-5941-9A56-8368A4C14C6F}"/>
            </a:ext>
          </a:extLst>
        </xdr:cNvPr>
        <xdr:cNvPicPr>
          <a:picLocks noChangeAspect="1"/>
        </xdr:cNvPicPr>
      </xdr:nvPicPr>
      <xdr:blipFill>
        <a:blip xmlns:r="http://schemas.openxmlformats.org/officeDocument/2006/relationships" r:embed="rId7"/>
        <a:stretch>
          <a:fillRect/>
        </a:stretch>
      </xdr:blipFill>
      <xdr:spPr>
        <a:xfrm>
          <a:off x="11807289" y="22780830"/>
          <a:ext cx="8656818" cy="8417528"/>
        </a:xfrm>
        <a:prstGeom prst="rect">
          <a:avLst/>
        </a:prstGeom>
      </xdr:spPr>
    </xdr:pic>
    <xdr:clientData/>
  </xdr:twoCellAnchor>
  <xdr:twoCellAnchor editAs="oneCell">
    <xdr:from>
      <xdr:col>0</xdr:col>
      <xdr:colOff>0</xdr:colOff>
      <xdr:row>94</xdr:row>
      <xdr:rowOff>154845</xdr:rowOff>
    </xdr:from>
    <xdr:to>
      <xdr:col>14</xdr:col>
      <xdr:colOff>537993</xdr:colOff>
      <xdr:row>129</xdr:row>
      <xdr:rowOff>47615</xdr:rowOff>
    </xdr:to>
    <xdr:pic>
      <xdr:nvPicPr>
        <xdr:cNvPr id="17" name="图片 16">
          <a:extLst>
            <a:ext uri="{FF2B5EF4-FFF2-40B4-BE49-F238E27FC236}">
              <a16:creationId xmlns:a16="http://schemas.microsoft.com/office/drawing/2014/main" id="{E31D6B44-70FA-74C4-5BE7-63BE33807C4E}"/>
            </a:ext>
          </a:extLst>
        </xdr:cNvPr>
        <xdr:cNvPicPr>
          <a:picLocks noChangeAspect="1"/>
        </xdr:cNvPicPr>
      </xdr:nvPicPr>
      <xdr:blipFill>
        <a:blip xmlns:r="http://schemas.openxmlformats.org/officeDocument/2006/relationships" r:embed="rId8"/>
        <a:stretch>
          <a:fillRect/>
        </a:stretch>
      </xdr:blipFill>
      <xdr:spPr>
        <a:xfrm>
          <a:off x="0" y="16433936"/>
          <a:ext cx="11898720" cy="5954134"/>
        </a:xfrm>
        <a:prstGeom prst="rect">
          <a:avLst/>
        </a:prstGeom>
      </xdr:spPr>
    </xdr:pic>
    <xdr:clientData/>
  </xdr:twoCellAnchor>
  <xdr:twoCellAnchor editAs="oneCell">
    <xdr:from>
      <xdr:col>0</xdr:col>
      <xdr:colOff>0</xdr:colOff>
      <xdr:row>167</xdr:row>
      <xdr:rowOff>87212</xdr:rowOff>
    </xdr:from>
    <xdr:to>
      <xdr:col>14</xdr:col>
      <xdr:colOff>399883</xdr:colOff>
      <xdr:row>198</xdr:row>
      <xdr:rowOff>8641</xdr:rowOff>
    </xdr:to>
    <xdr:pic>
      <xdr:nvPicPr>
        <xdr:cNvPr id="18" name="图片 17">
          <a:extLst>
            <a:ext uri="{FF2B5EF4-FFF2-40B4-BE49-F238E27FC236}">
              <a16:creationId xmlns:a16="http://schemas.microsoft.com/office/drawing/2014/main" id="{CE84E2D8-E2C3-4624-4974-E93550F15FE3}"/>
            </a:ext>
          </a:extLst>
        </xdr:cNvPr>
        <xdr:cNvPicPr>
          <a:picLocks noChangeAspect="1"/>
        </xdr:cNvPicPr>
      </xdr:nvPicPr>
      <xdr:blipFill>
        <a:blip xmlns:r="http://schemas.openxmlformats.org/officeDocument/2006/relationships" r:embed="rId9"/>
        <a:stretch>
          <a:fillRect/>
        </a:stretch>
      </xdr:blipFill>
      <xdr:spPr>
        <a:xfrm>
          <a:off x="0" y="29628319"/>
          <a:ext cx="11639383" cy="54051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19996;&#22478;&#21306;&#27801;&#28393;&#21518;&#34903;2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租金"/>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45574</v>
          </cell>
        </row>
      </sheetData>
      <sheetData sheetId="12"/>
      <sheetData sheetId="13"/>
      <sheetData sheetId="14"/>
      <sheetData sheetId="15">
        <row r="17">
          <cell r="C17" t="str">
            <v>项目类型</v>
          </cell>
        </row>
        <row r="18">
          <cell r="C18">
            <v>0</v>
          </cell>
        </row>
        <row r="19">
          <cell r="C19" t="str">
            <v>办公</v>
          </cell>
        </row>
        <row r="20">
          <cell r="C20">
            <v>0</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5">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估价对象为北京市房地产，为所有。根据《国有土地使用证》[]，估价对象（分摊）出让国有建设用地使用权面积为9256.19平方米，建筑面积为14139.2平方米。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估价对象为北京市房地产,为开发建设的，该项目尚在开发建设中。根据《国有土地使用证》[]，估价对象（分摊）出让国有建设用地使用权面积为9256.19平方米，规划建筑面积为14139.2平方米。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2024年10月9日（评估专业人员实地查勘之日）</v>
      </c>
    </row>
    <row r="13" spans="1:2">
      <c r="A13" s="1119" t="s">
        <v>529</v>
      </c>
      <c r="B13" s="1120" t="str">
        <f>'预评函-1'!A18</f>
        <v>本次估价的“房地产价值”是指在正常市场情况下，在价值时点2024年10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50724</v>
      </c>
    </row>
    <row r="21" spans="1:2">
      <c r="A21" s="1119" t="s">
        <v>537</v>
      </c>
      <c r="B21" s="1120">
        <f ca="1">'预评函-2'!D7</f>
        <v>35875</v>
      </c>
    </row>
    <row r="22" spans="1:2">
      <c r="A22" s="1119" t="s">
        <v>538</v>
      </c>
      <c r="B22" s="1120" t="str">
        <f ca="1">'预评函-2'!D6</f>
        <v>伍亿零柒佰贰拾肆万元整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50724</v>
      </c>
    </row>
    <row r="31" spans="1:2">
      <c r="A31" s="1119" t="s">
        <v>576</v>
      </c>
      <c r="B31" s="1120">
        <f ca="1">'预评函-2'!D15</f>
        <v>35875</v>
      </c>
    </row>
    <row r="32" spans="1:2">
      <c r="A32" s="1119" t="s">
        <v>543</v>
      </c>
      <c r="B32" s="1120" t="str">
        <f ca="1">'预评函-2'!D14</f>
        <v>伍亿零柒佰贰拾肆万元整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14139.199999999997</v>
      </c>
    </row>
    <row r="44" spans="1:2">
      <c r="A44" s="1119" t="s">
        <v>575</v>
      </c>
      <c r="B44" s="1120" t="str">
        <f>'预评函-3'!C2</f>
        <v>(分摊)土地面积</v>
      </c>
    </row>
    <row r="45" spans="1:2">
      <c r="A45" s="1119" t="s">
        <v>547</v>
      </c>
      <c r="B45" s="1120">
        <f>'预评函-3'!C4</f>
        <v>9256.19</v>
      </c>
    </row>
    <row r="46" spans="1:2">
      <c r="A46" s="1119" t="s">
        <v>573</v>
      </c>
      <c r="B46" s="1120" t="str">
        <f>'预评函-3'!D2</f>
        <v>出让国有建设用地使用权价值</v>
      </c>
    </row>
    <row r="47" spans="1:2">
      <c r="A47" s="1119" t="s">
        <v>548</v>
      </c>
      <c r="B47" s="1120">
        <f ca="1">'预评函-3'!D4</f>
        <v>46007</v>
      </c>
    </row>
    <row r="48" spans="1:2">
      <c r="A48" s="1119" t="s">
        <v>549</v>
      </c>
      <c r="B48" s="1120">
        <f ca="1">'预评函-3'!E4</f>
        <v>32539</v>
      </c>
    </row>
    <row r="49" spans="1:2">
      <c r="A49" s="1119" t="s">
        <v>550</v>
      </c>
      <c r="B49" s="1120" t="str">
        <f ca="1">'预评函-3'!D5</f>
        <v>肆亿陆仟零柒万元整</v>
      </c>
    </row>
    <row r="50" spans="1:2">
      <c r="A50" s="1119" t="s">
        <v>574</v>
      </c>
      <c r="B50" s="1120" t="str">
        <f>'预评函-3'!F2</f>
        <v>在建建筑物价值</v>
      </c>
    </row>
    <row r="51" spans="1:2">
      <c r="A51" s="1119" t="s">
        <v>551</v>
      </c>
      <c r="B51" s="1120">
        <f ca="1">'预评函-3'!F4</f>
        <v>4717</v>
      </c>
    </row>
    <row r="52" spans="1:2">
      <c r="A52" s="1119" t="s">
        <v>552</v>
      </c>
      <c r="B52" s="1120">
        <f ca="1">'预评函-3'!G4</f>
        <v>3336</v>
      </c>
    </row>
    <row r="53" spans="1:2">
      <c r="A53" s="1119" t="s">
        <v>580</v>
      </c>
      <c r="B53" s="1120" t="str">
        <f ca="1">'预评函-3'!F5</f>
        <v>肆仟柒佰壹拾柒万元整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3335</v>
      </c>
    </row>
    <row r="8" spans="1:23">
      <c r="A8" s="1440" t="s">
        <v>1026</v>
      </c>
      <c r="B8" s="1440" t="s">
        <v>1027</v>
      </c>
      <c r="C8" s="1441" t="s">
        <v>319</v>
      </c>
      <c r="F8" s="1442" t="s">
        <v>1028</v>
      </c>
      <c r="H8" s="1442" t="s">
        <v>2570</v>
      </c>
      <c r="I8" s="1442" t="s">
        <v>3336</v>
      </c>
    </row>
    <row r="9" spans="1:23">
      <c r="A9" s="1440" t="s">
        <v>1029</v>
      </c>
      <c r="B9" s="1440" t="s">
        <v>1030</v>
      </c>
      <c r="C9" s="1441" t="s">
        <v>320</v>
      </c>
      <c r="F9" s="1442" t="s">
        <v>1031</v>
      </c>
      <c r="H9" s="1442"/>
      <c r="I9" s="1444" t="s">
        <v>3337</v>
      </c>
    </row>
    <row r="10" spans="1:23">
      <c r="A10" s="1440" t="s">
        <v>1032</v>
      </c>
      <c r="B10" s="1440" t="s">
        <v>1033</v>
      </c>
      <c r="C10" s="1441" t="s">
        <v>321</v>
      </c>
      <c r="F10" s="1442" t="s">
        <v>2571</v>
      </c>
      <c r="I10" s="1444" t="s">
        <v>3338</v>
      </c>
    </row>
    <row r="11" spans="1:23">
      <c r="A11" s="1440" t="s">
        <v>1034</v>
      </c>
      <c r="B11" s="1440" t="s">
        <v>1035</v>
      </c>
      <c r="C11" s="1441" t="s">
        <v>322</v>
      </c>
      <c r="F11" s="1442" t="s">
        <v>13</v>
      </c>
      <c r="I11" s="1444" t="s">
        <v>3339</v>
      </c>
    </row>
    <row r="12" spans="1:23">
      <c r="A12" s="1440" t="s">
        <v>1036</v>
      </c>
      <c r="B12" s="1440" t="s">
        <v>1037</v>
      </c>
      <c r="C12" s="1441" t="s">
        <v>323</v>
      </c>
      <c r="I12" s="1444" t="s">
        <v>3340</v>
      </c>
    </row>
    <row r="13" spans="1:23">
      <c r="A13" s="1440" t="s">
        <v>1038</v>
      </c>
      <c r="B13" s="1440" t="s">
        <v>1039</v>
      </c>
      <c r="C13" s="1441" t="s">
        <v>324</v>
      </c>
      <c r="I13" s="1444" t="s">
        <v>3341</v>
      </c>
    </row>
    <row r="14" spans="1:23">
      <c r="A14" s="1440" t="s">
        <v>1040</v>
      </c>
      <c r="B14" s="1440" t="s">
        <v>1041</v>
      </c>
      <c r="C14" s="1442" t="s">
        <v>13</v>
      </c>
      <c r="I14" s="1444" t="s">
        <v>3342</v>
      </c>
    </row>
    <row r="15" spans="1:23">
      <c r="A15" s="1440" t="s">
        <v>1042</v>
      </c>
      <c r="B15" s="1440" t="s">
        <v>1043</v>
      </c>
      <c r="C15" s="1441"/>
      <c r="I15" s="1444" t="s">
        <v>3343</v>
      </c>
    </row>
    <row r="16" spans="1:23">
      <c r="A16" s="1440" t="s">
        <v>1044</v>
      </c>
      <c r="B16" s="1440" t="s">
        <v>312</v>
      </c>
      <c r="C16" s="1441"/>
    </row>
    <row r="17" spans="1:3">
      <c r="A17" s="1440" t="s">
        <v>1045</v>
      </c>
      <c r="B17" s="1440" t="s">
        <v>2284</v>
      </c>
      <c r="C17" s="1441"/>
    </row>
    <row r="18" spans="1:3">
      <c r="A18" s="1440" t="s">
        <v>1046</v>
      </c>
      <c r="B18" s="1440" t="s">
        <v>2426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6" t="s">
        <v>385</v>
      </c>
      <c r="C54" s="1444" t="s">
        <v>583</v>
      </c>
    </row>
    <row r="55" spans="1:4">
      <c r="A55" s="3208"/>
      <c r="B55" s="1446" t="s">
        <v>386</v>
      </c>
      <c r="C55" s="1444" t="s">
        <v>584</v>
      </c>
    </row>
    <row r="56" spans="1:4">
      <c r="A56" s="3208"/>
      <c r="B56" s="1446" t="s">
        <v>387</v>
      </c>
      <c r="C56" s="1444" t="s">
        <v>588</v>
      </c>
    </row>
    <row r="57" spans="1:4">
      <c r="A57" s="320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209" t="s">
        <v>2573</v>
      </c>
      <c r="J2" s="3209"/>
      <c r="K2" s="3209"/>
      <c r="L2" s="3209"/>
      <c r="M2" s="3209"/>
      <c r="N2" s="3209"/>
      <c r="O2" s="3209"/>
      <c r="P2" s="3209"/>
      <c r="Q2" s="3209"/>
      <c r="R2" s="3209"/>
    </row>
    <row r="3" spans="1:18">
      <c r="A3" s="2762" t="s">
        <v>2494</v>
      </c>
      <c r="B3" s="2763">
        <f>项目基本情况!D3</f>
        <v>45574</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2.19</v>
      </c>
      <c r="D5" s="2767">
        <f>IF(ISERROR(ROUND(POWER(1+E5,A5-C5)*(POWER(1+E5,C5)-1)/(POWER(1+E5,A5)-1),3)),0,ROUND(POWER(1+E5,A5-C5)*(POWER(1+E5,C5)-1)/(POWER(1+E5,A5)-1),4))</f>
        <v>0.104</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12.2</v>
      </c>
      <c r="D6" s="2767">
        <f>IF(ISERROR(ROUND(POWER(1+E6,A6-C6)*(POWER(1+E6,C6)-1)/(POWER(1+E6,A6)-1),3)),0,ROUND(POWER(1+E6,A6-C6)*(POWER(1+E6,C6)-1)/(POWER(1+E6,A6)-1),4))</f>
        <v>0.44259999999999999</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32.21</v>
      </c>
      <c r="D7" s="2767">
        <f>IF(ISERROR(ROUND(POWER(1+E7,A7-C7)*(POWER(1+E7,C7)-1)/(POWER(1+E7,A7)-1),3)),0,ROUND(POWER(1+E7,A7-C7)*(POWER(1+E7,C7)-1)/(POWER(1+E7,A7)-1),4))</f>
        <v>0.76649999999999996</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Q24" sqref="Q2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0" t="str">
        <f>IF(B10="北京市","北京市",C10)&amp;F10&amp;IF(结果表!G1="在建","出让国有建设用地使用权及在建建筑物",IF(结果表!G1="土地","出让国有建设用地使用权",))&amp;B9&amp;"预评估"</f>
        <v>北京市房地产抵押价值预评估</v>
      </c>
      <c r="C1" s="3211"/>
      <c r="D1" s="3211"/>
      <c r="E1" s="3211"/>
      <c r="F1" s="3211"/>
      <c r="G1" s="3211"/>
      <c r="H1" s="3211"/>
      <c r="I1" s="321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45574</v>
      </c>
      <c r="C3" s="2185" t="s">
        <v>2171</v>
      </c>
      <c r="D3" s="2184">
        <v>45574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13"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14"/>
      <c r="E9" s="2204" t="s">
        <v>43</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7"/>
    </row>
    <row r="13" spans="1:30">
      <c r="A13" s="3121" t="s">
        <v>3325</v>
      </c>
      <c r="B13" s="2217" t="s">
        <v>2190</v>
      </c>
      <c r="C13" s="803"/>
      <c r="D13" s="803"/>
      <c r="E13" s="803">
        <v>61174</v>
      </c>
      <c r="F13" s="803"/>
      <c r="G13" s="803"/>
      <c r="H13" s="803"/>
      <c r="I13" s="803"/>
      <c r="J13" s="2802"/>
      <c r="K13" s="2398"/>
      <c r="L13" s="2398"/>
      <c r="M13" s="2244"/>
      <c r="N13" s="1669"/>
      <c r="O13" s="2244"/>
      <c r="P13" s="2244"/>
      <c r="Q13" s="2244"/>
      <c r="AD13" s="1617"/>
    </row>
    <row r="14" spans="1:30">
      <c r="A14" s="1018"/>
      <c r="B14" s="2217" t="s">
        <v>2191</v>
      </c>
      <c r="C14" s="2218"/>
      <c r="D14" s="2218"/>
      <c r="E14" s="2218">
        <v>50</v>
      </c>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f>IF(A13="出让",IF(E13="","",ROUNDDOWN(MIN((E13-$D$3)/365,E14),2)),E14)</f>
        <v>42.73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20"/>
      <c r="C16" s="3221"/>
      <c r="D16" s="3222"/>
      <c r="E16" s="2221" t="s">
        <v>2194</v>
      </c>
      <c r="F16" s="3223"/>
      <c r="G16" s="3224"/>
      <c r="H16" s="3224"/>
      <c r="I16" s="3225"/>
      <c r="J16" s="2244"/>
      <c r="K16" s="2402"/>
      <c r="L16" s="1669"/>
      <c r="M16" s="1669"/>
      <c r="N16" s="2244"/>
      <c r="O16" s="1669"/>
      <c r="P16" s="2244"/>
      <c r="Q16" s="2244"/>
      <c r="R16" s="2244"/>
    </row>
    <row r="17" spans="1:28">
      <c r="A17" s="305" t="s">
        <v>2195</v>
      </c>
      <c r="B17" s="294" t="s">
        <v>2196</v>
      </c>
      <c r="C17" s="8">
        <f>'数据-汇总表'!E3</f>
        <v>14139.199999999997</v>
      </c>
      <c r="D17" s="1256" t="s">
        <v>2197</v>
      </c>
      <c r="E17" s="3226" t="s">
        <v>2198</v>
      </c>
      <c r="F17" s="3227"/>
      <c r="G17" s="3227"/>
      <c r="H17" s="3227"/>
      <c r="I17" s="3228"/>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9256.19</v>
      </c>
      <c r="D18" s="1029" t="s">
        <v>2201</v>
      </c>
      <c r="E18" s="3229" t="s">
        <v>2202</v>
      </c>
      <c r="F18" s="3230"/>
      <c r="G18" s="3230"/>
      <c r="H18" s="3230"/>
      <c r="I18" s="3231"/>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16" t="s">
        <v>2206</v>
      </c>
      <c r="C20" s="3217"/>
      <c r="D20" s="3218" t="s">
        <v>2207</v>
      </c>
      <c r="E20" s="3219"/>
      <c r="F20" s="2429" t="s">
        <v>1056</v>
      </c>
      <c r="G20" s="2441"/>
      <c r="H20" s="2441"/>
      <c r="I20" s="2441"/>
      <c r="J20" s="2244"/>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3"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3"/>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3"/>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4"/>
      <c r="B30" s="294" t="s">
        <v>2218</v>
      </c>
      <c r="C30" s="3235"/>
      <c r="D30" s="3236"/>
      <c r="E30" s="2441"/>
      <c r="F30" s="2441"/>
      <c r="G30" s="2441"/>
      <c r="H30" s="2441"/>
      <c r="I30" s="2441"/>
      <c r="J30" s="2244"/>
      <c r="K30" s="2401"/>
      <c r="L30" s="2398"/>
      <c r="M30" s="2398"/>
      <c r="N30" s="2244"/>
      <c r="O30" s="1669"/>
      <c r="P30" s="2244"/>
      <c r="Q30" s="2244"/>
      <c r="R30" s="2244"/>
      <c r="S30" s="2244"/>
      <c r="T30" s="2244"/>
      <c r="U30" s="2244"/>
      <c r="V30" s="2244"/>
    </row>
    <row r="31" spans="1:28">
      <c r="A31" s="3237" t="s">
        <v>2219</v>
      </c>
      <c r="B31" s="2230" t="s">
        <v>3386</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3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38"/>
      <c r="B33" s="2233"/>
      <c r="C33" s="1477"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t="s">
        <v>3387</v>
      </c>
      <c r="C34" s="1869" t="s">
        <v>3388</v>
      </c>
      <c r="D34" s="1869" t="s">
        <v>3389</v>
      </c>
      <c r="E34" s="1869" t="s">
        <v>3390</v>
      </c>
      <c r="F34" s="1869" t="s">
        <v>3391</v>
      </c>
      <c r="G34" s="1869" t="s">
        <v>3392</v>
      </c>
      <c r="H34" s="1869" t="s">
        <v>3393</v>
      </c>
      <c r="I34" s="2441"/>
      <c r="J34" s="2244"/>
      <c r="K34" s="8">
        <f>COUNTIF(B34:H34,"——")</f>
        <v>0</v>
      </c>
      <c r="L34" s="315" t="s">
        <v>2221</v>
      </c>
      <c r="M34" s="315" t="s">
        <v>2222</v>
      </c>
      <c r="N34" s="315" t="s">
        <v>2223</v>
      </c>
      <c r="O34" s="315" t="s">
        <v>2224</v>
      </c>
      <c r="P34" s="315" t="s">
        <v>2225</v>
      </c>
      <c r="Q34" s="315" t="s">
        <v>2226</v>
      </c>
      <c r="R34" s="315" t="s">
        <v>2227</v>
      </c>
      <c r="S34" s="3232" t="s">
        <v>2228</v>
      </c>
      <c r="T34" s="315" t="str">
        <f>NUMBERSTRING(7-K34,1)&amp;"通"</f>
        <v>七通</v>
      </c>
      <c r="U34" s="2244"/>
      <c r="V34" s="2244"/>
    </row>
    <row r="35" spans="1:30">
      <c r="A35" s="2235"/>
      <c r="B35" s="3232" t="s">
        <v>2229</v>
      </c>
      <c r="C35" s="3232"/>
      <c r="D35" s="3232"/>
      <c r="E35" s="3232"/>
      <c r="F35" s="8">
        <f>C10</f>
        <v>0</v>
      </c>
      <c r="G35" s="2441"/>
      <c r="H35" s="2441"/>
      <c r="I35" s="2441"/>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32"/>
      <c r="T35" s="138" t="str">
        <f>IF(T34="一通",L35,IF(T34="二通",M35,IF(T34="三通",N35,IF(T34="四通",O35,IF(T34="五通",P35,IF(T34="六通",Q35,R35))))))</f>
        <v>通路、通电、通讯、通上水、通下水、通热、燃气</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t="s">
        <v>144</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t="s">
        <v>3385</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9256.19</v>
      </c>
      <c r="B3" s="11">
        <f>IF(C3="否",G5-AT5,G5)</f>
        <v>14139.199999999997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9"/>
      <c r="C5" s="1259"/>
      <c r="D5" s="1260"/>
      <c r="E5" s="13" t="s">
        <v>0</v>
      </c>
      <c r="F5" s="13">
        <f>SUM(F13:F587)</f>
        <v>0</v>
      </c>
      <c r="G5" s="13">
        <f>SUM(G13:G587)</f>
        <v>14139.199999999997</v>
      </c>
      <c r="H5" s="13">
        <f t="shared" ref="H5:AT5" si="0">SUM(H13:H656)</f>
        <v>14139.199999999997</v>
      </c>
      <c r="I5" s="13">
        <f t="shared" si="0"/>
        <v>12124.999999999998</v>
      </c>
      <c r="J5" s="13">
        <f t="shared" si="0"/>
        <v>0</v>
      </c>
      <c r="K5" s="13">
        <f t="shared" si="0"/>
        <v>2014.1999999999998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14139.199999999997</v>
      </c>
      <c r="BA5" s="15">
        <f t="shared" si="1"/>
        <v>14139.199999999997</v>
      </c>
      <c r="BB5" s="15">
        <f t="shared" si="1"/>
        <v>12124.999999999998</v>
      </c>
      <c r="BC5" s="15">
        <f t="shared" si="1"/>
        <v>2014.1999999999998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9256.19</v>
      </c>
      <c r="F6" s="13" t="s">
        <v>0</v>
      </c>
      <c r="G6" s="13" t="s">
        <v>1</v>
      </c>
      <c r="H6" s="17">
        <f>SUMIF(I$12:AB$12,"总值",I6:AB6)</f>
        <v>9256.19</v>
      </c>
      <c r="I6" s="13">
        <f t="shared" ref="I6:AB6" si="2">ROUND($A$3*I5/$B$3,2)</f>
        <v>7937.6</v>
      </c>
      <c r="J6" s="13">
        <f t="shared" si="2"/>
        <v>0</v>
      </c>
      <c r="K6" s="13">
        <f t="shared" si="2"/>
        <v>1318.59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9256.19</v>
      </c>
      <c r="AZ6" s="13" t="s">
        <v>2</v>
      </c>
      <c r="BA6" s="13">
        <f>ROUND($AY$6*BA5/$AZ$5,2)</f>
        <v>9256.19</v>
      </c>
      <c r="BB6" s="13">
        <f>ROUND($AY$6*BB5/$AZ$5,2)</f>
        <v>7937.6</v>
      </c>
      <c r="BC6" s="13">
        <f t="shared" ref="BC6:BH6" si="4">ROUND($AY$6*BC5/$AZ$5,2)</f>
        <v>1318.59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60"/>
      <c r="AU7" s="1478" t="s">
        <v>1080</v>
      </c>
      <c r="AV7" s="20" t="s">
        <v>1081</v>
      </c>
      <c r="AW7" s="1465" t="s">
        <v>1082</v>
      </c>
      <c r="AX7" s="20" t="s">
        <v>1075</v>
      </c>
      <c r="AY7" s="1259"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9"/>
      <c r="K8" s="1269"/>
      <c r="L8" s="1269"/>
      <c r="M8" s="1269"/>
      <c r="N8" s="1269"/>
      <c r="O8" s="1269"/>
      <c r="P8" s="1269"/>
      <c r="Q8" s="1269"/>
      <c r="R8" s="1269"/>
      <c r="S8" s="1269"/>
      <c r="T8" s="1269"/>
      <c r="U8" s="1269"/>
      <c r="V8" s="1485"/>
      <c r="W8" s="1269"/>
      <c r="X8" s="1269"/>
      <c r="Y8" s="1269"/>
      <c r="Z8" s="1269"/>
      <c r="AA8" s="1485"/>
      <c r="AB8" s="1486"/>
      <c r="AC8" s="761" t="s">
        <v>1086</v>
      </c>
      <c r="AD8" s="1487"/>
      <c r="AE8" s="1479"/>
      <c r="AF8" s="1269"/>
      <c r="AG8" s="1269"/>
      <c r="AH8" s="1269"/>
      <c r="AI8" s="1269"/>
      <c r="AJ8" s="1269"/>
      <c r="AK8" s="1269"/>
      <c r="AL8" s="1269"/>
      <c r="AM8" s="1269"/>
      <c r="AN8" s="1269"/>
      <c r="AO8" s="1269"/>
      <c r="AP8" s="1269"/>
      <c r="AQ8" s="1269"/>
      <c r="AR8" s="1269"/>
      <c r="AS8" s="1269"/>
      <c r="AT8" s="1007" t="s">
        <v>1087</v>
      </c>
      <c r="AU8" s="1481" t="s">
        <v>1088</v>
      </c>
      <c r="AV8" s="1007"/>
      <c r="AW8" s="1466"/>
      <c r="AX8" s="1007"/>
      <c r="AY8" s="1465"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8" customFormat="1" ht="12.75">
      <c r="A9" s="1481"/>
      <c r="B9" s="1481"/>
      <c r="C9" s="1481"/>
      <c r="D9" s="1481"/>
      <c r="E9" s="1481"/>
      <c r="F9" s="1481"/>
      <c r="G9" s="1007"/>
      <c r="H9" s="1489" t="s">
        <v>1091</v>
      </c>
      <c r="I9" s="1490" t="s">
        <v>3409</v>
      </c>
      <c r="J9" s="761"/>
      <c r="K9" s="1490" t="s">
        <v>3410</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9"/>
      <c r="BN9" s="1484"/>
      <c r="BO9" s="1269"/>
      <c r="BP9" s="1269"/>
      <c r="BQ9" s="1269"/>
      <c r="BR9" s="1269"/>
      <c r="BS9" s="1269"/>
      <c r="BT9" s="23"/>
    </row>
    <row r="10" spans="1:72" s="1488" customFormat="1" ht="12.75">
      <c r="A10" s="1481"/>
      <c r="B10" s="1481"/>
      <c r="C10" s="1481"/>
      <c r="D10" s="1481"/>
      <c r="E10" s="1481"/>
      <c r="F10" s="1481"/>
      <c r="G10" s="1007"/>
      <c r="H10" s="25"/>
      <c r="I10" s="1490" t="s">
        <v>21</v>
      </c>
      <c r="J10" s="761"/>
      <c r="K10" s="1496" t="s">
        <v>21</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70"/>
      <c r="AF11" s="1503" t="s">
        <v>1101</v>
      </c>
      <c r="AG11" s="1270"/>
      <c r="AH11" s="1503" t="s">
        <v>1102</v>
      </c>
      <c r="AI11" s="1504"/>
      <c r="AJ11" s="1503" t="s">
        <v>1102</v>
      </c>
      <c r="AK11" s="1270"/>
      <c r="AL11" s="1268"/>
      <c r="AM11" s="1270"/>
      <c r="AN11" s="1268"/>
      <c r="AO11" s="1270"/>
      <c r="AP11" s="1268"/>
      <c r="AQ11" s="1270"/>
      <c r="AR11" s="1268"/>
      <c r="AS11" s="1270"/>
      <c r="AT11" s="1466"/>
      <c r="AU11" s="1481"/>
      <c r="AV11" s="1007"/>
      <c r="AW11" s="1466"/>
      <c r="AX11" s="1007"/>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8"/>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3147" t="s">
        <v>3408</v>
      </c>
      <c r="D13" s="1512" t="s">
        <v>3407</v>
      </c>
      <c r="E13" s="13">
        <f>IF($C$3="是",ROUND($A$3*G13/$B$3,2),ROUND($A$3*(G13-AT13)/$B$3,2))</f>
        <v>9256.19</v>
      </c>
      <c r="F13" s="29"/>
      <c r="G13" s="30">
        <f>H13+AC13+AT13</f>
        <v>14139.199999999997</v>
      </c>
      <c r="H13" s="17">
        <f>SUMIF(I$12:AB$12,"总值",I13:AB13)</f>
        <v>14139.199999999997</v>
      </c>
      <c r="I13" s="1513">
        <f>面积!E24</f>
        <v>12124.999999999998</v>
      </c>
      <c r="J13" s="1513"/>
      <c r="K13" s="1513">
        <f>面积!F24</f>
        <v>2014.1999999999998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办公</v>
      </c>
      <c r="AY13" s="1260">
        <f>ROUND($AY$6*AZ13/$AZ$5,2)</f>
        <v>9256.19</v>
      </c>
      <c r="AZ13" s="13">
        <f>BA13+BL13</f>
        <v>14139.199999999997</v>
      </c>
      <c r="BA13" s="13">
        <f>SUM(BB13:BK13)</f>
        <v>14139.199999999997</v>
      </c>
      <c r="BB13" s="13">
        <f>IF($D13="是",I13-J13,0)</f>
        <v>12124.999999999998</v>
      </c>
      <c r="BC13" s="13">
        <f>IF($D13="是",K13-L13,0)</f>
        <v>2014.1999999999998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49"/>
  <sheetViews>
    <sheetView tabSelected="1" workbookViewId="0">
      <selection activeCell="K14" sqref="K14"/>
    </sheetView>
  </sheetViews>
  <sheetFormatPr defaultRowHeight="13.5"/>
  <cols>
    <col min="1" max="2" width="5.25" bestFit="1" customWidth="1"/>
    <col min="4" max="4" width="11" bestFit="1" customWidth="1"/>
    <col min="5" max="5" width="7.5" bestFit="1" customWidth="1"/>
    <col min="6" max="7" width="13" bestFit="1" customWidth="1"/>
  </cols>
  <sheetData>
    <row r="1" spans="1:14">
      <c r="A1" s="1428" t="s">
        <v>3394</v>
      </c>
      <c r="B1" s="1428" t="s">
        <v>3395</v>
      </c>
      <c r="C1" s="1428" t="s">
        <v>3396</v>
      </c>
      <c r="D1" s="1428" t="s">
        <v>3397</v>
      </c>
      <c r="E1" s="1428" t="s">
        <v>3398</v>
      </c>
      <c r="F1" s="1428" t="s">
        <v>3399</v>
      </c>
      <c r="G1" s="1428" t="s">
        <v>3400</v>
      </c>
      <c r="H1" s="1428" t="s">
        <v>3442</v>
      </c>
      <c r="I1" s="3144" t="s">
        <v>3446</v>
      </c>
      <c r="J1" s="3144" t="s">
        <v>3445</v>
      </c>
      <c r="K1" s="3144" t="s">
        <v>3444</v>
      </c>
      <c r="L1" s="3144" t="s">
        <v>3447</v>
      </c>
      <c r="M1" s="3144" t="s">
        <v>654</v>
      </c>
      <c r="N1" s="3144"/>
    </row>
    <row r="2" spans="1:14">
      <c r="A2" s="3144">
        <v>1</v>
      </c>
      <c r="B2" s="3144">
        <v>1</v>
      </c>
      <c r="C2" s="3145" t="s">
        <v>3401</v>
      </c>
      <c r="D2" s="3144">
        <v>433.4</v>
      </c>
      <c r="E2" s="3144">
        <f>D2-F2</f>
        <v>433.4</v>
      </c>
      <c r="F2" s="3144">
        <v>0</v>
      </c>
      <c r="G2" s="3144">
        <v>344.64</v>
      </c>
      <c r="H2" s="1428" t="s">
        <v>3443</v>
      </c>
      <c r="I2" s="3144">
        <v>3500</v>
      </c>
      <c r="J2" s="3144">
        <v>200</v>
      </c>
      <c r="K2" s="3144">
        <f>I2+J2</f>
        <v>3700</v>
      </c>
      <c r="L2" s="3144">
        <f>K2*D2</f>
        <v>1603580</v>
      </c>
      <c r="M2" s="3144">
        <v>10</v>
      </c>
      <c r="N2" s="3144">
        <f>M2*D2</f>
        <v>4334</v>
      </c>
    </row>
    <row r="3" spans="1:14">
      <c r="A3" s="3144">
        <v>2</v>
      </c>
      <c r="B3" s="3144">
        <v>2</v>
      </c>
      <c r="C3" s="3146">
        <v>1</v>
      </c>
      <c r="D3" s="3144">
        <v>139.69999999999999</v>
      </c>
      <c r="E3" s="3144">
        <f t="shared" ref="E3:E23" si="0">D3-F3</f>
        <v>139.69999999999999</v>
      </c>
      <c r="F3" s="3144">
        <v>0</v>
      </c>
      <c r="G3" s="3144">
        <v>180.94</v>
      </c>
      <c r="H3" s="1428" t="s">
        <v>3443</v>
      </c>
      <c r="I3" s="3144">
        <v>3000</v>
      </c>
      <c r="J3" s="3144">
        <v>200</v>
      </c>
      <c r="K3" s="3144">
        <f t="shared" ref="K3:K23" si="1">I3+J3</f>
        <v>3200</v>
      </c>
      <c r="L3" s="3144">
        <f t="shared" ref="L3:L23" si="2">K3*D3</f>
        <v>447039.99999999994</v>
      </c>
      <c r="M3" s="3144">
        <v>10</v>
      </c>
      <c r="N3" s="3144">
        <f t="shared" ref="N3:N23" si="3">M3*D3</f>
        <v>1397</v>
      </c>
    </row>
    <row r="4" spans="1:14">
      <c r="A4" s="3144">
        <v>3</v>
      </c>
      <c r="B4" s="3144">
        <v>3</v>
      </c>
      <c r="C4" s="3145" t="s">
        <v>3402</v>
      </c>
      <c r="D4" s="3144">
        <v>607.20000000000005</v>
      </c>
      <c r="E4" s="3144">
        <f t="shared" si="0"/>
        <v>607.20000000000005</v>
      </c>
      <c r="F4" s="3144">
        <v>0</v>
      </c>
      <c r="G4" s="3144">
        <v>381.65</v>
      </c>
      <c r="H4" s="1428" t="s">
        <v>3443</v>
      </c>
      <c r="I4" s="3144">
        <v>3500</v>
      </c>
      <c r="J4" s="3144">
        <v>200</v>
      </c>
      <c r="K4" s="3144">
        <f t="shared" si="1"/>
        <v>3700</v>
      </c>
      <c r="L4" s="3144">
        <f t="shared" si="2"/>
        <v>2246640</v>
      </c>
      <c r="M4" s="3144">
        <v>10</v>
      </c>
      <c r="N4" s="3144">
        <f t="shared" si="3"/>
        <v>6072</v>
      </c>
    </row>
    <row r="5" spans="1:14">
      <c r="A5" s="3144">
        <v>4</v>
      </c>
      <c r="B5" s="3144">
        <v>5</v>
      </c>
      <c r="C5" s="3145" t="s">
        <v>3402</v>
      </c>
      <c r="D5" s="3144">
        <v>2450.1</v>
      </c>
      <c r="E5" s="3144">
        <f t="shared" si="0"/>
        <v>2450.1</v>
      </c>
      <c r="F5" s="3144">
        <v>0</v>
      </c>
      <c r="G5" s="3144">
        <v>1539.99</v>
      </c>
      <c r="H5" s="1428" t="s">
        <v>3443</v>
      </c>
      <c r="I5" s="3144">
        <v>3500</v>
      </c>
      <c r="J5" s="3144">
        <v>200</v>
      </c>
      <c r="K5" s="3144">
        <f t="shared" si="1"/>
        <v>3700</v>
      </c>
      <c r="L5" s="3144">
        <f t="shared" si="2"/>
        <v>9065370</v>
      </c>
      <c r="M5" s="3144">
        <v>8</v>
      </c>
      <c r="N5" s="3144">
        <f t="shared" si="3"/>
        <v>19600.8</v>
      </c>
    </row>
    <row r="6" spans="1:14">
      <c r="A6" s="3144">
        <v>5</v>
      </c>
      <c r="B6" s="3144">
        <v>6</v>
      </c>
      <c r="C6" s="3145" t="s">
        <v>3401</v>
      </c>
      <c r="D6" s="3144">
        <v>78.400000000000006</v>
      </c>
      <c r="E6" s="3144">
        <f t="shared" si="0"/>
        <v>78.400000000000006</v>
      </c>
      <c r="F6" s="3144">
        <v>0</v>
      </c>
      <c r="G6" s="3144">
        <v>62.34</v>
      </c>
      <c r="H6" s="1428" t="s">
        <v>3443</v>
      </c>
      <c r="I6" s="3144">
        <v>3500</v>
      </c>
      <c r="J6" s="3144">
        <v>1000</v>
      </c>
      <c r="K6" s="3144">
        <f t="shared" si="1"/>
        <v>4500</v>
      </c>
      <c r="L6" s="3144">
        <f t="shared" si="2"/>
        <v>352800</v>
      </c>
      <c r="M6" s="3144">
        <v>10</v>
      </c>
      <c r="N6" s="3144">
        <f t="shared" si="3"/>
        <v>784</v>
      </c>
    </row>
    <row r="7" spans="1:14">
      <c r="A7" s="3144">
        <v>6</v>
      </c>
      <c r="B7" s="3144">
        <v>8</v>
      </c>
      <c r="C7" s="3145" t="s">
        <v>3403</v>
      </c>
      <c r="D7" s="3144">
        <v>565.79999999999995</v>
      </c>
      <c r="E7" s="3144">
        <f t="shared" si="0"/>
        <v>565.79999999999995</v>
      </c>
      <c r="F7" s="3144">
        <v>0</v>
      </c>
      <c r="G7" s="3144">
        <v>732.83</v>
      </c>
      <c r="H7" s="1428" t="s">
        <v>3443</v>
      </c>
      <c r="I7" s="3144">
        <v>3000</v>
      </c>
      <c r="J7" s="3144">
        <v>1000</v>
      </c>
      <c r="K7" s="3144">
        <f t="shared" si="1"/>
        <v>4000</v>
      </c>
      <c r="L7" s="3144">
        <f t="shared" si="2"/>
        <v>2263200</v>
      </c>
      <c r="M7" s="3144">
        <v>10</v>
      </c>
      <c r="N7" s="3144">
        <f t="shared" si="3"/>
        <v>5658</v>
      </c>
    </row>
    <row r="8" spans="1:14">
      <c r="A8" s="3144">
        <v>7</v>
      </c>
      <c r="B8" s="3144">
        <v>9</v>
      </c>
      <c r="C8" s="3145" t="s">
        <v>3403</v>
      </c>
      <c r="D8" s="3144">
        <v>17.8</v>
      </c>
      <c r="E8" s="3144">
        <f t="shared" si="0"/>
        <v>17.8</v>
      </c>
      <c r="F8" s="3144">
        <v>0</v>
      </c>
      <c r="G8" s="1428">
        <v>23.05</v>
      </c>
      <c r="H8" s="1428" t="s">
        <v>3443</v>
      </c>
      <c r="I8" s="3144">
        <v>3000</v>
      </c>
      <c r="J8" s="3144">
        <f>J7</f>
        <v>1000</v>
      </c>
      <c r="K8" s="3144">
        <f t="shared" si="1"/>
        <v>4000</v>
      </c>
      <c r="L8" s="3144">
        <f t="shared" si="2"/>
        <v>71200</v>
      </c>
      <c r="M8" s="3144">
        <v>10</v>
      </c>
      <c r="N8" s="3144">
        <f t="shared" si="3"/>
        <v>178</v>
      </c>
    </row>
    <row r="9" spans="1:14">
      <c r="A9" s="3144">
        <v>8</v>
      </c>
      <c r="B9" s="3144">
        <v>10</v>
      </c>
      <c r="C9" s="3145" t="s">
        <v>3403</v>
      </c>
      <c r="D9" s="3144">
        <v>6.4</v>
      </c>
      <c r="E9" s="3144">
        <f t="shared" si="0"/>
        <v>6.4</v>
      </c>
      <c r="F9" s="3144">
        <v>0</v>
      </c>
      <c r="G9" s="1428">
        <v>8.2899999999999991</v>
      </c>
      <c r="H9" s="1428" t="s">
        <v>3443</v>
      </c>
      <c r="I9" s="3144">
        <v>3000</v>
      </c>
      <c r="J9" s="1428">
        <f>J8</f>
        <v>1000</v>
      </c>
      <c r="K9" s="3144">
        <f t="shared" si="1"/>
        <v>4000</v>
      </c>
      <c r="L9" s="3144">
        <f t="shared" si="2"/>
        <v>25600</v>
      </c>
      <c r="M9" s="3144">
        <v>10</v>
      </c>
      <c r="N9" s="3144">
        <f t="shared" si="3"/>
        <v>64</v>
      </c>
    </row>
    <row r="10" spans="1:14">
      <c r="A10" s="3144">
        <v>9</v>
      </c>
      <c r="B10" s="3144">
        <v>11</v>
      </c>
      <c r="C10" s="3145" t="s">
        <v>3403</v>
      </c>
      <c r="D10" s="3144">
        <v>16</v>
      </c>
      <c r="E10" s="3144">
        <f t="shared" si="0"/>
        <v>16</v>
      </c>
      <c r="F10" s="3144">
        <v>0</v>
      </c>
      <c r="G10" s="3144">
        <v>20.72</v>
      </c>
      <c r="H10" s="1428" t="s">
        <v>3443</v>
      </c>
      <c r="I10" s="3144">
        <v>3000</v>
      </c>
      <c r="J10" s="3144">
        <f>J9</f>
        <v>1000</v>
      </c>
      <c r="K10" s="3144">
        <f t="shared" si="1"/>
        <v>4000</v>
      </c>
      <c r="L10" s="3144">
        <f t="shared" si="2"/>
        <v>64000</v>
      </c>
      <c r="M10" s="3144">
        <v>10</v>
      </c>
      <c r="N10" s="3144">
        <f t="shared" si="3"/>
        <v>160</v>
      </c>
    </row>
    <row r="11" spans="1:14">
      <c r="A11" s="3144">
        <v>10</v>
      </c>
      <c r="B11" s="3144">
        <v>13</v>
      </c>
      <c r="C11" s="3145" t="s">
        <v>3401</v>
      </c>
      <c r="D11" s="3144">
        <v>471.1</v>
      </c>
      <c r="E11" s="3144">
        <f t="shared" si="0"/>
        <v>471.1</v>
      </c>
      <c r="F11" s="3144">
        <v>0</v>
      </c>
      <c r="G11" s="3144">
        <v>521.30999999999995</v>
      </c>
      <c r="H11" s="1428" t="s">
        <v>3443</v>
      </c>
      <c r="I11" s="3144">
        <v>3500</v>
      </c>
      <c r="J11" s="3144">
        <v>1000</v>
      </c>
      <c r="K11" s="3144">
        <f t="shared" si="1"/>
        <v>4500</v>
      </c>
      <c r="L11" s="3144">
        <f t="shared" si="2"/>
        <v>2119950</v>
      </c>
      <c r="M11" s="3144">
        <v>8</v>
      </c>
      <c r="N11" s="3144">
        <f t="shared" si="3"/>
        <v>3768.8</v>
      </c>
    </row>
    <row r="12" spans="1:14">
      <c r="A12" s="3144">
        <v>11</v>
      </c>
      <c r="B12" s="3144">
        <v>14</v>
      </c>
      <c r="C12" s="3145" t="s">
        <v>3403</v>
      </c>
      <c r="D12" s="3144">
        <v>35.299999999999997</v>
      </c>
      <c r="E12" s="3144">
        <f t="shared" si="0"/>
        <v>35.299999999999997</v>
      </c>
      <c r="F12" s="3144">
        <v>0</v>
      </c>
      <c r="G12" s="3144">
        <v>45.72</v>
      </c>
      <c r="H12" s="1428" t="s">
        <v>3443</v>
      </c>
      <c r="I12" s="3144">
        <v>3000</v>
      </c>
      <c r="J12" s="3144">
        <v>200</v>
      </c>
      <c r="K12" s="3144">
        <f t="shared" si="1"/>
        <v>3200</v>
      </c>
      <c r="L12" s="3144">
        <f t="shared" si="2"/>
        <v>112959.99999999999</v>
      </c>
      <c r="M12" s="3144">
        <v>8</v>
      </c>
      <c r="N12" s="3144">
        <f t="shared" si="3"/>
        <v>282.39999999999998</v>
      </c>
    </row>
    <row r="13" spans="1:14">
      <c r="A13" s="3144">
        <v>12</v>
      </c>
      <c r="B13" s="3144">
        <v>15</v>
      </c>
      <c r="C13" s="3145" t="s">
        <v>3404</v>
      </c>
      <c r="D13" s="3144">
        <v>2671.9</v>
      </c>
      <c r="E13" s="3144">
        <f t="shared" si="0"/>
        <v>1985.4</v>
      </c>
      <c r="F13" s="3144">
        <v>686.5</v>
      </c>
      <c r="G13" s="3144">
        <v>1463.73</v>
      </c>
      <c r="H13" s="1428" t="s">
        <v>3443</v>
      </c>
      <c r="I13" s="3162">
        <v>4000</v>
      </c>
      <c r="J13" s="3144">
        <v>200</v>
      </c>
      <c r="K13" s="3144">
        <f t="shared" si="1"/>
        <v>4200</v>
      </c>
      <c r="L13" s="3144">
        <f t="shared" si="2"/>
        <v>11221980</v>
      </c>
      <c r="M13" s="3144">
        <v>8</v>
      </c>
      <c r="N13" s="3144">
        <f t="shared" si="3"/>
        <v>21375.200000000001</v>
      </c>
    </row>
    <row r="14" spans="1:14">
      <c r="A14" s="3144">
        <v>13</v>
      </c>
      <c r="B14" s="3144">
        <v>16</v>
      </c>
      <c r="C14" s="3145" t="s">
        <v>3405</v>
      </c>
      <c r="D14" s="3144">
        <v>3060.9</v>
      </c>
      <c r="E14" s="3144">
        <f t="shared" si="0"/>
        <v>2458.1000000000004</v>
      </c>
      <c r="F14" s="3144">
        <v>602.79999999999995</v>
      </c>
      <c r="G14" s="3144">
        <v>1515.78</v>
      </c>
      <c r="H14" s="1428" t="s">
        <v>3443</v>
      </c>
      <c r="I14" s="3162">
        <f>I13</f>
        <v>4000</v>
      </c>
      <c r="J14" s="3144">
        <v>200</v>
      </c>
      <c r="K14" s="3144">
        <f t="shared" si="1"/>
        <v>4200</v>
      </c>
      <c r="L14" s="3144">
        <f t="shared" si="2"/>
        <v>12855780</v>
      </c>
      <c r="M14" s="3144">
        <v>8</v>
      </c>
      <c r="N14" s="3144">
        <f t="shared" si="3"/>
        <v>24487.200000000001</v>
      </c>
    </row>
    <row r="15" spans="1:14">
      <c r="A15" s="3144">
        <v>14</v>
      </c>
      <c r="B15" s="3144">
        <v>17</v>
      </c>
      <c r="C15" s="3145" t="s">
        <v>3404</v>
      </c>
      <c r="D15" s="3144">
        <v>735.6</v>
      </c>
      <c r="E15" s="3144">
        <f t="shared" si="0"/>
        <v>627.80000000000007</v>
      </c>
      <c r="F15" s="3144">
        <v>107.8</v>
      </c>
      <c r="G15" s="3144">
        <v>575.66</v>
      </c>
      <c r="H15" s="1428" t="s">
        <v>3443</v>
      </c>
      <c r="I15" s="3162">
        <f>I13</f>
        <v>4000</v>
      </c>
      <c r="J15" s="3144">
        <v>200</v>
      </c>
      <c r="K15" s="3144">
        <f t="shared" si="1"/>
        <v>4200</v>
      </c>
      <c r="L15" s="3144">
        <f t="shared" si="2"/>
        <v>3089520</v>
      </c>
      <c r="M15" s="3144">
        <v>8</v>
      </c>
      <c r="N15" s="3144">
        <f t="shared" si="3"/>
        <v>5884.8</v>
      </c>
    </row>
    <row r="16" spans="1:14">
      <c r="A16" s="3144">
        <v>15</v>
      </c>
      <c r="B16" s="3144">
        <v>18</v>
      </c>
      <c r="C16" s="3145" t="s">
        <v>3403</v>
      </c>
      <c r="D16" s="3144">
        <v>30.8</v>
      </c>
      <c r="E16" s="3144">
        <f t="shared" si="0"/>
        <v>30.8</v>
      </c>
      <c r="F16" s="3144">
        <v>0</v>
      </c>
      <c r="G16" s="3144">
        <v>39.89</v>
      </c>
      <c r="H16" s="1428" t="s">
        <v>3443</v>
      </c>
      <c r="I16" s="3144">
        <v>3000</v>
      </c>
      <c r="J16" s="3144">
        <v>200</v>
      </c>
      <c r="K16" s="3144">
        <f t="shared" si="1"/>
        <v>3200</v>
      </c>
      <c r="L16" s="3144">
        <f t="shared" si="2"/>
        <v>98560</v>
      </c>
      <c r="M16" s="3144">
        <v>8</v>
      </c>
      <c r="N16" s="3144">
        <f t="shared" si="3"/>
        <v>246.4</v>
      </c>
    </row>
    <row r="17" spans="1:14">
      <c r="A17" s="3144">
        <v>16</v>
      </c>
      <c r="B17" s="3144">
        <v>19</v>
      </c>
      <c r="C17" s="3145" t="s">
        <v>3404</v>
      </c>
      <c r="D17" s="3144">
        <v>2468.4</v>
      </c>
      <c r="E17" s="3144">
        <f t="shared" si="0"/>
        <v>1851.3000000000002</v>
      </c>
      <c r="F17" s="3144">
        <v>617.1</v>
      </c>
      <c r="G17" s="3144">
        <v>1345.79</v>
      </c>
      <c r="H17" s="1428" t="s">
        <v>3443</v>
      </c>
      <c r="I17" s="3162">
        <f>I13</f>
        <v>4000</v>
      </c>
      <c r="J17" s="3144">
        <v>200</v>
      </c>
      <c r="K17" s="3144">
        <f t="shared" si="1"/>
        <v>4200</v>
      </c>
      <c r="L17" s="3144">
        <f t="shared" si="2"/>
        <v>10367280</v>
      </c>
      <c r="M17" s="3144">
        <v>8</v>
      </c>
      <c r="N17" s="3144">
        <f t="shared" si="3"/>
        <v>19747.2</v>
      </c>
    </row>
    <row r="18" spans="1:14">
      <c r="A18" s="3144">
        <v>17</v>
      </c>
      <c r="B18" s="3144">
        <v>20</v>
      </c>
      <c r="C18" s="3145" t="s">
        <v>3403</v>
      </c>
      <c r="D18" s="3144">
        <v>25.3</v>
      </c>
      <c r="E18" s="3144">
        <f t="shared" si="0"/>
        <v>25.3</v>
      </c>
      <c r="F18" s="3144">
        <v>0</v>
      </c>
      <c r="G18" s="3144">
        <v>32.770000000000003</v>
      </c>
      <c r="H18" s="1428" t="s">
        <v>3443</v>
      </c>
      <c r="I18" s="3144">
        <v>3000</v>
      </c>
      <c r="J18" s="3144">
        <v>200</v>
      </c>
      <c r="K18" s="3144">
        <f t="shared" si="1"/>
        <v>3200</v>
      </c>
      <c r="L18" s="3144">
        <f t="shared" si="2"/>
        <v>80960</v>
      </c>
      <c r="M18" s="3144">
        <v>8</v>
      </c>
      <c r="N18" s="3144">
        <f t="shared" si="3"/>
        <v>202.4</v>
      </c>
    </row>
    <row r="19" spans="1:14">
      <c r="A19" s="3144">
        <v>18</v>
      </c>
      <c r="B19" s="3144">
        <v>21</v>
      </c>
      <c r="C19" s="3145" t="s">
        <v>3403</v>
      </c>
      <c r="D19" s="3144">
        <v>26</v>
      </c>
      <c r="E19" s="3144">
        <f t="shared" si="0"/>
        <v>26</v>
      </c>
      <c r="F19" s="3144">
        <v>0</v>
      </c>
      <c r="G19" s="3144">
        <v>33.68</v>
      </c>
      <c r="H19" s="1428" t="s">
        <v>3443</v>
      </c>
      <c r="I19" s="3144">
        <v>3000</v>
      </c>
      <c r="J19" s="3144">
        <v>200</v>
      </c>
      <c r="K19" s="3144">
        <f t="shared" si="1"/>
        <v>3200</v>
      </c>
      <c r="L19" s="3144">
        <f t="shared" si="2"/>
        <v>83200</v>
      </c>
      <c r="M19" s="3144">
        <v>8</v>
      </c>
      <c r="N19" s="3144">
        <f t="shared" si="3"/>
        <v>208</v>
      </c>
    </row>
    <row r="20" spans="1:14">
      <c r="A20" s="3144">
        <v>19</v>
      </c>
      <c r="B20" s="3144">
        <v>22</v>
      </c>
      <c r="C20" s="3145" t="s">
        <v>3403</v>
      </c>
      <c r="D20" s="3144">
        <v>163.6</v>
      </c>
      <c r="E20" s="3144">
        <f t="shared" si="0"/>
        <v>163.6</v>
      </c>
      <c r="F20" s="3144">
        <v>0</v>
      </c>
      <c r="G20" s="3144">
        <v>211.9</v>
      </c>
      <c r="H20" s="1428" t="s">
        <v>3443</v>
      </c>
      <c r="I20" s="3144">
        <v>3000</v>
      </c>
      <c r="J20" s="3144">
        <v>200</v>
      </c>
      <c r="K20" s="3144">
        <f t="shared" si="1"/>
        <v>3200</v>
      </c>
      <c r="L20" s="3144">
        <f t="shared" si="2"/>
        <v>523520</v>
      </c>
      <c r="M20" s="3144">
        <v>8</v>
      </c>
      <c r="N20" s="3144">
        <f t="shared" si="3"/>
        <v>1308.8</v>
      </c>
    </row>
    <row r="21" spans="1:14">
      <c r="A21" s="3144">
        <v>20</v>
      </c>
      <c r="B21" s="3144">
        <v>23</v>
      </c>
      <c r="C21" s="3145" t="s">
        <v>3403</v>
      </c>
      <c r="D21" s="3144">
        <v>13</v>
      </c>
      <c r="E21" s="3144">
        <f t="shared" si="0"/>
        <v>13</v>
      </c>
      <c r="F21" s="3144">
        <v>0</v>
      </c>
      <c r="G21" s="3144">
        <v>16.84</v>
      </c>
      <c r="H21" s="1428" t="s">
        <v>3443</v>
      </c>
      <c r="I21" s="3144">
        <v>3000</v>
      </c>
      <c r="J21" s="3144">
        <v>200</v>
      </c>
      <c r="K21" s="3144">
        <f t="shared" si="1"/>
        <v>3200</v>
      </c>
      <c r="L21" s="3144">
        <f t="shared" si="2"/>
        <v>41600</v>
      </c>
      <c r="M21" s="3144">
        <v>0</v>
      </c>
      <c r="N21" s="3144">
        <f t="shared" si="3"/>
        <v>0</v>
      </c>
    </row>
    <row r="22" spans="1:14">
      <c r="A22" s="3144">
        <v>21</v>
      </c>
      <c r="B22" s="3144">
        <v>24</v>
      </c>
      <c r="C22" s="3145" t="s">
        <v>3403</v>
      </c>
      <c r="D22" s="3144">
        <v>93.8</v>
      </c>
      <c r="E22" s="3144">
        <f t="shared" si="0"/>
        <v>93.8</v>
      </c>
      <c r="F22" s="3144">
        <v>0</v>
      </c>
      <c r="G22" s="3144">
        <v>121.49</v>
      </c>
      <c r="H22" s="1428" t="s">
        <v>3443</v>
      </c>
      <c r="I22" s="3144">
        <v>3000</v>
      </c>
      <c r="J22" s="3144">
        <v>200</v>
      </c>
      <c r="K22" s="3144">
        <f t="shared" si="1"/>
        <v>3200</v>
      </c>
      <c r="L22" s="3144">
        <f t="shared" si="2"/>
        <v>300160</v>
      </c>
      <c r="M22" s="3144">
        <v>8</v>
      </c>
      <c r="N22" s="3144">
        <f t="shared" si="3"/>
        <v>750.4</v>
      </c>
    </row>
    <row r="23" spans="1:14">
      <c r="A23" s="3144">
        <v>22</v>
      </c>
      <c r="B23" s="3144">
        <v>25</v>
      </c>
      <c r="C23" s="3145" t="s">
        <v>3403</v>
      </c>
      <c r="D23" s="3144">
        <v>28.7</v>
      </c>
      <c r="E23" s="3144">
        <f t="shared" si="0"/>
        <v>28.7</v>
      </c>
      <c r="F23" s="3144">
        <v>0</v>
      </c>
      <c r="G23" s="3144">
        <v>37.17</v>
      </c>
      <c r="H23" s="1428" t="s">
        <v>3443</v>
      </c>
      <c r="I23" s="3144">
        <v>3000</v>
      </c>
      <c r="J23" s="3144">
        <v>200</v>
      </c>
      <c r="K23" s="3144">
        <f t="shared" si="1"/>
        <v>3200</v>
      </c>
      <c r="L23" s="3144">
        <f t="shared" si="2"/>
        <v>91840</v>
      </c>
      <c r="M23" s="3144">
        <v>0</v>
      </c>
      <c r="N23" s="3144">
        <f t="shared" si="3"/>
        <v>0</v>
      </c>
    </row>
    <row r="24" spans="1:14">
      <c r="A24" s="3144"/>
      <c r="B24" s="1428" t="s">
        <v>2585</v>
      </c>
      <c r="C24" s="3144"/>
      <c r="D24" s="3144">
        <f>SUM(D2:D23)</f>
        <v>14139.199999999999</v>
      </c>
      <c r="E24" s="3144">
        <f>SUM(E2:E23)</f>
        <v>12124.999999999998</v>
      </c>
      <c r="F24" s="3144">
        <f>SUM(F2:F23)</f>
        <v>2014.1999999999998</v>
      </c>
      <c r="G24" s="3144">
        <f>SUM(G2:G23)</f>
        <v>9256.1799999999985</v>
      </c>
      <c r="H24" s="1428"/>
      <c r="I24" s="3144"/>
      <c r="J24" s="3144"/>
      <c r="K24" s="3144">
        <f>L24/D24</f>
        <v>4040.3092112707936</v>
      </c>
      <c r="L24" s="3144">
        <f>SUM(L2:L23)</f>
        <v>57126740</v>
      </c>
      <c r="M24" s="3144">
        <f>ROUND(N24/D24,2)</f>
        <v>8.24</v>
      </c>
      <c r="N24" s="3144">
        <f>SUM(N2:N23)</f>
        <v>116509.4</v>
      </c>
    </row>
    <row r="26" spans="1:14">
      <c r="A26" s="1428" t="s">
        <v>3394</v>
      </c>
      <c r="B26" s="1428" t="s">
        <v>3395</v>
      </c>
      <c r="C26" s="1428" t="s">
        <v>3396</v>
      </c>
      <c r="D26" s="1428" t="s">
        <v>3406</v>
      </c>
      <c r="E26" s="1428" t="s">
        <v>2536</v>
      </c>
      <c r="F26" s="1428" t="s">
        <v>3400</v>
      </c>
    </row>
    <row r="27" spans="1:14">
      <c r="A27" s="3144">
        <v>1</v>
      </c>
      <c r="B27" s="3144">
        <v>1</v>
      </c>
      <c r="C27" s="3145" t="s">
        <v>3401</v>
      </c>
      <c r="D27" s="3144">
        <v>433.4</v>
      </c>
      <c r="E27" s="1428" t="s">
        <v>2805</v>
      </c>
      <c r="F27" s="3144">
        <v>344.64</v>
      </c>
    </row>
    <row r="28" spans="1:14">
      <c r="A28" s="3144">
        <v>2</v>
      </c>
      <c r="B28" s="3144">
        <v>2</v>
      </c>
      <c r="C28" s="3146">
        <v>1</v>
      </c>
      <c r="D28" s="3144">
        <v>139.69999999999999</v>
      </c>
      <c r="E28" s="1428" t="s">
        <v>2805</v>
      </c>
      <c r="F28" s="3144">
        <v>180.94</v>
      </c>
    </row>
    <row r="29" spans="1:14">
      <c r="A29" s="3144">
        <v>3</v>
      </c>
      <c r="B29" s="3144">
        <v>3</v>
      </c>
      <c r="C29" s="3145" t="s">
        <v>3402</v>
      </c>
      <c r="D29" s="3144">
        <v>607.20000000000005</v>
      </c>
      <c r="E29" s="1428" t="s">
        <v>2805</v>
      </c>
      <c r="F29" s="3144">
        <v>381.65</v>
      </c>
    </row>
    <row r="30" spans="1:14">
      <c r="A30" s="3144">
        <v>4</v>
      </c>
      <c r="B30" s="3144">
        <v>5</v>
      </c>
      <c r="C30" s="3145" t="s">
        <v>3402</v>
      </c>
      <c r="D30" s="3144">
        <v>2450.1</v>
      </c>
      <c r="E30" s="1428" t="s">
        <v>2805</v>
      </c>
      <c r="F30" s="3144">
        <v>1539.99</v>
      </c>
    </row>
    <row r="31" spans="1:14">
      <c r="A31" s="3144">
        <v>5</v>
      </c>
      <c r="B31" s="3144">
        <v>6</v>
      </c>
      <c r="C31" s="3145" t="s">
        <v>3401</v>
      </c>
      <c r="D31" s="3144">
        <v>78.400000000000006</v>
      </c>
      <c r="E31" s="1428" t="s">
        <v>2805</v>
      </c>
      <c r="F31" s="3144">
        <v>62.34</v>
      </c>
    </row>
    <row r="32" spans="1:14">
      <c r="A32" s="3144">
        <v>6</v>
      </c>
      <c r="B32" s="3144">
        <v>8</v>
      </c>
      <c r="C32" s="3145" t="s">
        <v>3403</v>
      </c>
      <c r="D32" s="3144">
        <v>565.79999999999995</v>
      </c>
      <c r="E32" s="1428" t="s">
        <v>2805</v>
      </c>
      <c r="F32" s="3144">
        <v>732.83</v>
      </c>
    </row>
    <row r="33" spans="1:6">
      <c r="A33" s="3144">
        <v>7</v>
      </c>
      <c r="B33" s="3144">
        <v>9</v>
      </c>
      <c r="C33" s="3145" t="s">
        <v>3403</v>
      </c>
      <c r="D33" s="3144">
        <v>17.8</v>
      </c>
      <c r="E33" s="1428" t="s">
        <v>2805</v>
      </c>
      <c r="F33" s="1428">
        <v>23.05</v>
      </c>
    </row>
    <row r="34" spans="1:6">
      <c r="A34" s="3144">
        <v>8</v>
      </c>
      <c r="B34" s="3144">
        <v>10</v>
      </c>
      <c r="C34" s="3145" t="s">
        <v>3403</v>
      </c>
      <c r="D34" s="3144">
        <v>6.4</v>
      </c>
      <c r="E34" s="1428" t="s">
        <v>2805</v>
      </c>
      <c r="F34" s="1428">
        <v>8.2899999999999991</v>
      </c>
    </row>
    <row r="35" spans="1:6">
      <c r="A35" s="3144">
        <v>9</v>
      </c>
      <c r="B35" s="3144">
        <v>11</v>
      </c>
      <c r="C35" s="3145" t="s">
        <v>3403</v>
      </c>
      <c r="D35" s="3144">
        <v>16</v>
      </c>
      <c r="E35" s="1428" t="s">
        <v>2805</v>
      </c>
      <c r="F35" s="3144">
        <v>20.72</v>
      </c>
    </row>
    <row r="36" spans="1:6">
      <c r="A36" s="3144">
        <v>10</v>
      </c>
      <c r="B36" s="3144">
        <v>13</v>
      </c>
      <c r="C36" s="3145" t="s">
        <v>3401</v>
      </c>
      <c r="D36" s="3144">
        <v>471.1</v>
      </c>
      <c r="E36" s="1428" t="s">
        <v>2805</v>
      </c>
      <c r="F36" s="3144">
        <v>521.30999999999995</v>
      </c>
    </row>
    <row r="37" spans="1:6">
      <c r="A37" s="3144">
        <v>11</v>
      </c>
      <c r="B37" s="3144">
        <v>14</v>
      </c>
      <c r="C37" s="3145" t="s">
        <v>3403</v>
      </c>
      <c r="D37" s="3144">
        <v>35.299999999999997</v>
      </c>
      <c r="E37" s="1428" t="s">
        <v>2805</v>
      </c>
      <c r="F37" s="3144">
        <v>45.72</v>
      </c>
    </row>
    <row r="38" spans="1:6">
      <c r="A38" s="3144">
        <v>12</v>
      </c>
      <c r="B38" s="3144">
        <v>15</v>
      </c>
      <c r="C38" s="3145" t="s">
        <v>3404</v>
      </c>
      <c r="D38" s="3144">
        <v>2671.9</v>
      </c>
      <c r="E38" s="1428" t="s">
        <v>2805</v>
      </c>
      <c r="F38" s="3144">
        <v>1463.73</v>
      </c>
    </row>
    <row r="39" spans="1:6">
      <c r="A39" s="3144">
        <v>13</v>
      </c>
      <c r="B39" s="3144">
        <v>16</v>
      </c>
      <c r="C39" s="3145" t="s">
        <v>3405</v>
      </c>
      <c r="D39" s="3144">
        <v>3060.9</v>
      </c>
      <c r="E39" s="1428" t="s">
        <v>2805</v>
      </c>
      <c r="F39" s="3144">
        <v>1515.78</v>
      </c>
    </row>
    <row r="40" spans="1:6">
      <c r="A40" s="3144">
        <v>14</v>
      </c>
      <c r="B40" s="3144">
        <v>17</v>
      </c>
      <c r="C40" s="3145" t="s">
        <v>3404</v>
      </c>
      <c r="D40" s="3144">
        <v>735.6</v>
      </c>
      <c r="E40" s="1428" t="s">
        <v>2805</v>
      </c>
      <c r="F40" s="3144">
        <v>575.66</v>
      </c>
    </row>
    <row r="41" spans="1:6">
      <c r="A41" s="3144">
        <v>15</v>
      </c>
      <c r="B41" s="3144">
        <v>18</v>
      </c>
      <c r="C41" s="3145" t="s">
        <v>3403</v>
      </c>
      <c r="D41" s="3144">
        <v>30.8</v>
      </c>
      <c r="E41" s="1428" t="s">
        <v>2805</v>
      </c>
      <c r="F41" s="3144">
        <v>39.89</v>
      </c>
    </row>
    <row r="42" spans="1:6">
      <c r="A42" s="3144">
        <v>16</v>
      </c>
      <c r="B42" s="3144">
        <v>19</v>
      </c>
      <c r="C42" s="3145" t="s">
        <v>3404</v>
      </c>
      <c r="D42" s="3144">
        <v>2468.4</v>
      </c>
      <c r="E42" s="1428" t="s">
        <v>2805</v>
      </c>
      <c r="F42" s="3144">
        <v>1345.79</v>
      </c>
    </row>
    <row r="43" spans="1:6">
      <c r="A43" s="3144">
        <v>17</v>
      </c>
      <c r="B43" s="3144">
        <v>20</v>
      </c>
      <c r="C43" s="3145" t="s">
        <v>3403</v>
      </c>
      <c r="D43" s="3144">
        <v>25.3</v>
      </c>
      <c r="E43" s="1428" t="s">
        <v>2805</v>
      </c>
      <c r="F43" s="3144">
        <v>32.770000000000003</v>
      </c>
    </row>
    <row r="44" spans="1:6">
      <c r="A44" s="3144">
        <v>18</v>
      </c>
      <c r="B44" s="3144">
        <v>21</v>
      </c>
      <c r="C44" s="3145" t="s">
        <v>3403</v>
      </c>
      <c r="D44" s="3144">
        <v>26</v>
      </c>
      <c r="E44" s="1428" t="s">
        <v>2805</v>
      </c>
      <c r="F44" s="3144">
        <v>33.68</v>
      </c>
    </row>
    <row r="45" spans="1:6">
      <c r="A45" s="3144">
        <v>19</v>
      </c>
      <c r="B45" s="3144">
        <v>22</v>
      </c>
      <c r="C45" s="3145" t="s">
        <v>3403</v>
      </c>
      <c r="D45" s="3144">
        <v>163.6</v>
      </c>
      <c r="E45" s="1428" t="s">
        <v>2805</v>
      </c>
      <c r="F45" s="3144">
        <v>211.9</v>
      </c>
    </row>
    <row r="46" spans="1:6">
      <c r="A46" s="3144">
        <v>20</v>
      </c>
      <c r="B46" s="3144">
        <v>23</v>
      </c>
      <c r="C46" s="3145" t="s">
        <v>3403</v>
      </c>
      <c r="D46" s="3144">
        <v>13</v>
      </c>
      <c r="E46" s="1428" t="s">
        <v>2805</v>
      </c>
      <c r="F46" s="3144">
        <v>16.84</v>
      </c>
    </row>
    <row r="47" spans="1:6">
      <c r="A47" s="3144">
        <v>21</v>
      </c>
      <c r="B47" s="3144">
        <v>24</v>
      </c>
      <c r="C47" s="3145" t="s">
        <v>3403</v>
      </c>
      <c r="D47" s="3144">
        <v>93.8</v>
      </c>
      <c r="E47" s="1428" t="s">
        <v>2805</v>
      </c>
      <c r="F47" s="3144">
        <v>121.49</v>
      </c>
    </row>
    <row r="48" spans="1:6">
      <c r="A48" s="3144">
        <v>22</v>
      </c>
      <c r="B48" s="3144">
        <v>25</v>
      </c>
      <c r="C48" s="3145" t="s">
        <v>3403</v>
      </c>
      <c r="D48" s="3144">
        <v>28.7</v>
      </c>
      <c r="E48" s="1428" t="s">
        <v>2805</v>
      </c>
      <c r="F48" s="3144">
        <v>37.17</v>
      </c>
    </row>
    <row r="49" spans="1:6">
      <c r="A49" s="3144"/>
      <c r="B49" s="1428" t="s">
        <v>2585</v>
      </c>
      <c r="C49" s="3144"/>
      <c r="D49" s="3144">
        <f>SUM(D27:D48)</f>
        <v>14139.199999999999</v>
      </c>
      <c r="E49" s="3144"/>
      <c r="F49" s="3144">
        <f>SUM(F27:F48)</f>
        <v>9256.1799999999985</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8" t="s">
        <v>1131</v>
      </c>
      <c r="B2" s="3248"/>
      <c r="C2" s="3248"/>
      <c r="D2" s="748" t="s">
        <v>1107</v>
      </c>
      <c r="E2" s="1522" t="s">
        <v>1108</v>
      </c>
      <c r="F2" s="2438"/>
      <c r="G2" s="2431"/>
      <c r="H2" s="2432"/>
      <c r="I2" s="2145" t="s">
        <v>1132</v>
      </c>
      <c r="J2" s="2438"/>
      <c r="K2" s="2438"/>
      <c r="L2" s="2438"/>
      <c r="M2" s="2438"/>
      <c r="N2" s="2439"/>
      <c r="O2" s="2438"/>
      <c r="P2" s="2438"/>
    </row>
    <row r="3" spans="1:16" ht="15.75" thickBot="1">
      <c r="A3" s="3249" t="s">
        <v>1105</v>
      </c>
      <c r="B3" s="3249"/>
      <c r="C3" s="3249"/>
      <c r="D3" s="41">
        <f>'数据-基础表'!AY6</f>
        <v>9256.19</v>
      </c>
      <c r="E3" s="41">
        <f>'数据-基础表'!AZ5</f>
        <v>14139.199999999997</v>
      </c>
      <c r="F3" s="2438"/>
      <c r="G3" s="42"/>
      <c r="H3" s="43" t="s">
        <v>1106</v>
      </c>
      <c r="I3" s="802">
        <f>ROUND('数据-基础表'!B3/'数据-基础表'!A3,2)</f>
        <v>1.53</v>
      </c>
      <c r="J3" s="2438"/>
      <c r="K3" s="2438"/>
      <c r="L3" s="2438"/>
      <c r="M3" s="2438"/>
      <c r="N3" s="2439"/>
      <c r="O3" s="2438"/>
      <c r="P3" s="2438"/>
    </row>
    <row r="4" spans="1:16" ht="15">
      <c r="A4" s="3250"/>
      <c r="B4" s="3251"/>
      <c r="C4" s="3252"/>
      <c r="D4" s="1523" t="s">
        <v>1107</v>
      </c>
      <c r="E4" s="1524" t="s">
        <v>1108</v>
      </c>
      <c r="F4" s="2438"/>
      <c r="G4" s="2433" t="s">
        <v>1133</v>
      </c>
      <c r="H4" s="43" t="s">
        <v>1113</v>
      </c>
      <c r="I4" s="802">
        <f>ROUND(SUMIF('数据-基础表'!I9:AS9,"地上",'数据-基础表'!I5:AS5)/'数据-基础表'!A3,2)</f>
        <v>1.31</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f>ROUND(E31/D31,2)</f>
        <v>1.53</v>
      </c>
      <c r="J5" s="2438"/>
      <c r="K5" s="2438"/>
      <c r="L5" s="2438"/>
      <c r="M5" s="2438"/>
      <c r="N5" s="2438"/>
      <c r="O5" s="2438"/>
      <c r="P5" s="2438"/>
    </row>
    <row r="6" spans="1:16" ht="15" thickBot="1">
      <c r="A6" s="1526"/>
      <c r="B6" s="3253" t="s">
        <v>1111</v>
      </c>
      <c r="C6" s="3253"/>
      <c r="D6" s="43">
        <f>ROUND($D$3*E6/$E$3,2)</f>
        <v>9256.19</v>
      </c>
      <c r="E6" s="44">
        <f>E3-E5</f>
        <v>14139.199999999997</v>
      </c>
      <c r="F6" s="2438"/>
      <c r="G6" s="1528" t="s">
        <v>1112</v>
      </c>
      <c r="H6" s="45" t="s">
        <v>1113</v>
      </c>
      <c r="I6" s="2434">
        <f>ROUND(F31/D31,2)</f>
        <v>1.31</v>
      </c>
      <c r="J6" s="2438"/>
      <c r="K6" s="2438"/>
      <c r="L6" s="2438"/>
      <c r="M6" s="2438"/>
      <c r="N6" s="2438"/>
      <c r="O6" s="2438"/>
      <c r="P6" s="2438"/>
    </row>
    <row r="7" spans="1:16" ht="15.75" thickBot="1">
      <c r="A7" s="3245"/>
      <c r="B7" s="3246"/>
      <c r="C7" s="324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7937.6</v>
      </c>
      <c r="E8" s="46">
        <f>SUMIF('数据-基础表'!BB10:BK10,"地上",'数据-基础表'!BB5:BK5)</f>
        <v>12124.999999999998</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1318.59</v>
      </c>
      <c r="E11" s="46">
        <f>SUMPRODUCT(('数据-基础表'!BB10:BK10="地下")*('数据-基础表'!BB11:BK11="办公")*('数据-基础表'!BB5:BK5))+'数据-基础表'!BP5</f>
        <v>2014.1999999999998</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9256.19</v>
      </c>
      <c r="E16" s="48">
        <f>SUM(E8:E15)</f>
        <v>14139.199999999997</v>
      </c>
      <c r="F16" s="2438"/>
      <c r="G16" s="2438"/>
      <c r="H16" s="1530" t="s">
        <v>1135</v>
      </c>
      <c r="I16" s="1531"/>
      <c r="J16" s="1071"/>
      <c r="K16" s="3242" t="s">
        <v>1135</v>
      </c>
      <c r="L16" s="3243"/>
      <c r="M16" s="3243"/>
      <c r="N16" s="3243"/>
      <c r="O16" s="3243"/>
      <c r="P16" s="3244"/>
    </row>
    <row r="17" spans="1:19" ht="15">
      <c r="A17" s="1532" t="s">
        <v>1136</v>
      </c>
      <c r="B17" s="1533" t="s">
        <v>1137</v>
      </c>
      <c r="C17" s="1534" t="s">
        <v>1138</v>
      </c>
      <c r="D17" s="1535" t="s">
        <v>1126</v>
      </c>
      <c r="E17" s="1536" t="s">
        <v>1127</v>
      </c>
      <c r="F17" s="1537"/>
      <c r="G17" s="1538"/>
      <c r="H17" s="1539" t="s">
        <v>1139</v>
      </c>
      <c r="I17" s="1540" t="s">
        <v>1124</v>
      </c>
      <c r="J17" s="1071"/>
      <c r="K17" s="3239" t="s">
        <v>1140</v>
      </c>
      <c r="L17" s="3240"/>
      <c r="M17" s="3241"/>
      <c r="N17" s="3239" t="s">
        <v>1141</v>
      </c>
      <c r="O17" s="3240"/>
      <c r="P17" s="324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5" t="str">
        <f>'数据-基础表'!C13</f>
        <v>办公</v>
      </c>
      <c r="D19" s="43">
        <f>ROUND($D$3*E19/$E$3,2)</f>
        <v>9256.19</v>
      </c>
      <c r="E19" s="51">
        <f t="shared" ref="E19:E26" si="1">SUM(F19:G19)</f>
        <v>14139.199999999997</v>
      </c>
      <c r="F19" s="2557">
        <f>'数据-基础表'!I13</f>
        <v>12124.999999999998</v>
      </c>
      <c r="G19" s="1243">
        <f>'数据-基础表'!K13</f>
        <v>2014.1999999999998</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9256.19</v>
      </c>
      <c r="S19" s="51">
        <f t="shared" si="5"/>
        <v>14139.199999999997</v>
      </c>
    </row>
    <row r="20" spans="1:19">
      <c r="A20" s="1548"/>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9256.19</v>
      </c>
      <c r="E27" s="1073">
        <f>IF(SUM(E19:E26)='数据-基础表'!BA5,SUM(E19:E26),IF(F27="地上面积有误","面积有误","地下面积有误"))</f>
        <v>14139.199999999997</v>
      </c>
      <c r="F27" s="1072">
        <f>IF(SUM(F19:F26)=E8,SUM(F19:F26),"地上面积有误")</f>
        <v>12124.999999999998</v>
      </c>
      <c r="G27" s="1074">
        <f>SUM(G19:G26)</f>
        <v>2014.1999999999998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9256.19</v>
      </c>
      <c r="S27" s="43">
        <f>IF(SUM(S19:S26)=$E$3,SUM(S19:S26),SUM(S19:S26)&amp;"误差"&amp;ROUND(SUM(S19:S26)-E3,2))</f>
        <v>14139.199999999997</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9256.19</v>
      </c>
      <c r="E31" s="643">
        <f>E27+E30</f>
        <v>14139.199999999997</v>
      </c>
      <c r="F31" s="644">
        <f>F27+F30</f>
        <v>12124.999999999998</v>
      </c>
      <c r="G31" s="645">
        <f>G27+G30</f>
        <v>2014.1999999999998</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45574</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3411</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v>
      </c>
      <c r="B6" s="1586" t="str">
        <f>IF(A6=0,"","经营性")</f>
        <v>经营性</v>
      </c>
      <c r="C6" s="1587" t="s">
        <v>21</v>
      </c>
      <c r="D6" s="805">
        <f>SUMIF(项目基本情况!C$12:I$12,C6,项目基本情况!C$14:I$14)</f>
        <v>50</v>
      </c>
      <c r="E6" s="804">
        <f>IF(B6="","",SUMIF(项目基本情况!C$12:I$12,C6,项目基本情况!C$13:I$13))</f>
        <v>61174</v>
      </c>
      <c r="F6" s="61">
        <f>SUMIF(项目基本情况!C$12:I$12,C6,项目基本情况!C$15:I$15)</f>
        <v>42.73</v>
      </c>
      <c r="G6" s="62">
        <f>IF(ISERROR(ROUND(POWER(1+H6,D6-F6)*(POWER(1+H6,F6)-1)/(POWER(1+H6,D6)-1),3)),0,ROUND(POWER(1+H6,D6-F6)*(POWER(1+H6,F6)-1)/(POWER(1+H6,D6)-1),3))</f>
        <v>0.96499999999999997</v>
      </c>
      <c r="H6" s="691">
        <v>5.5E-2</v>
      </c>
      <c r="I6" s="691">
        <v>0.06</v>
      </c>
      <c r="J6" s="63">
        <v>7.0000000000000007E-2</v>
      </c>
      <c r="K6" s="970">
        <f>SUMIF('数据-汇总表'!C$19:C$33,A6,'数据-汇总表'!E$19:E$33)</f>
        <v>14139.199999999997</v>
      </c>
      <c r="L6" s="3164">
        <v>4000</v>
      </c>
      <c r="M6" s="64">
        <f t="shared" ref="M6:M14" si="0">ROUND(K6*L6/10000,0)</f>
        <v>5656</v>
      </c>
      <c r="N6" s="3155">
        <v>0.9</v>
      </c>
      <c r="O6" s="64" t="str">
        <f>IF($N$5="成新度","——",ROUND(M6*N6,0))</f>
        <v>——</v>
      </c>
      <c r="P6" s="65" t="str">
        <f>IF($N$5="成新度","——",M6-O6)</f>
        <v>——</v>
      </c>
      <c r="Q6" s="693">
        <v>0.15</v>
      </c>
      <c r="R6" s="66">
        <f ca="1">SUMIF('数据-汇总表'!C$19:C$33,A6,'数据-汇总表'!R$19:R$27)</f>
        <v>9256.19</v>
      </c>
      <c r="S6" s="49">
        <f>IF('数据-汇总表'!$I$17="按面积比例",SUMIF('数据-汇总表'!C$19:C$33,A6,'数据-汇总表'!K$19:K$33),SUMIF('数据-汇总表'!C$19:C$33,A6,'数据-汇总表'!N$19:N$33))</f>
        <v>0</v>
      </c>
      <c r="T6" s="1092">
        <f>ROUND($L$14*S6/10000,0)</f>
        <v>0</v>
      </c>
      <c r="U6" s="3161">
        <f>租金!B15</f>
        <v>4.62</v>
      </c>
      <c r="V6" s="67">
        <v>0</v>
      </c>
      <c r="W6" s="67">
        <v>0</v>
      </c>
      <c r="X6" s="979"/>
      <c r="Y6" s="68">
        <f>N6</f>
        <v>0.9</v>
      </c>
      <c r="Z6" s="3163">
        <f>ROUND(面积!M24*(1+AA6)^AF6,2)</f>
        <v>8.24</v>
      </c>
      <c r="AA6" s="63">
        <v>0</v>
      </c>
      <c r="AB6" s="63">
        <v>0.1</v>
      </c>
      <c r="AC6" s="979"/>
      <c r="AD6" s="3158">
        <v>0.6</v>
      </c>
      <c r="AE6" s="980">
        <f ca="1">IF(AN6="",0,SUMIF(INDIRECT("'"&amp;AN6&amp;"'"&amp;"!E:E"),$AE$5,INDIRECT("'"&amp;AN6&amp;"'"&amp;"!F:F")))</f>
        <v>42.73</v>
      </c>
      <c r="AF6" s="3160">
        <v>20</v>
      </c>
      <c r="AG6" s="130">
        <f ca="1">IF(AF6="",0,AE6-AF6)</f>
        <v>22.729999999999997</v>
      </c>
      <c r="AH6" s="71"/>
      <c r="AI6" s="73">
        <v>365</v>
      </c>
      <c r="AJ6" s="74"/>
      <c r="AK6" s="75">
        <v>2E-3</v>
      </c>
      <c r="AL6" s="76">
        <v>1E-3</v>
      </c>
      <c r="AM6" s="77">
        <v>0.01</v>
      </c>
      <c r="AN6" s="1588" t="s">
        <v>3421</v>
      </c>
      <c r="AO6" s="50">
        <f ca="1">SUMIF(INDIRECT("'"&amp;AN6&amp;"'"&amp;"!A:A"),"总价",INDIRECT("'"&amp;AN6&amp;"'"&amp;"!B:B"))</f>
        <v>33659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0.96499999999999997</v>
      </c>
      <c r="H16" s="84">
        <f>ROUND(SUMPRODUCT(H6:H13,K6:K13)/SUMPRODUCT((H6:H13&gt;0)*(K6:K13)),3)</f>
        <v>5.5E-2</v>
      </c>
      <c r="I16" s="85"/>
      <c r="J16" s="85"/>
      <c r="K16" s="86">
        <f>SUM(K6:K15)</f>
        <v>14139.199999999997</v>
      </c>
      <c r="L16" s="87">
        <f>ROUND(M16*10000/SUM(K6:K14),0)</f>
        <v>4000</v>
      </c>
      <c r="M16" s="87">
        <f>SUM(M6:M14)</f>
        <v>5656</v>
      </c>
      <c r="N16" s="88">
        <f>ROUND(SUMPRODUCT(M6:M14,N6:N14)/M16,3)</f>
        <v>0.9</v>
      </c>
      <c r="O16" s="87">
        <f>SUM(O6:O14)</f>
        <v>0</v>
      </c>
      <c r="P16" s="87">
        <f>SUM(P6:P14)</f>
        <v>0</v>
      </c>
      <c r="Q16" s="89">
        <f>ROUND(SUMPRODUCT(Q6:Q13,K6:K13)/SUMPRODUCT((Q6:Q13&gt;0)*(K6:K13)),2)</f>
        <v>0.15</v>
      </c>
      <c r="R16" s="974">
        <f ca="1">SUM(R6:R13)</f>
        <v>9256.19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3156">
        <v>0.8</v>
      </c>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3156">
        <v>0.6</v>
      </c>
      <c r="O18" s="3156">
        <f>(N20+N18)/2</f>
        <v>0.8</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2294</v>
      </c>
      <c r="D19" s="2451"/>
      <c r="E19" s="2438"/>
      <c r="F19" s="2438"/>
      <c r="G19" s="2438"/>
      <c r="H19" s="2438"/>
      <c r="I19" s="2438"/>
      <c r="J19" s="2438"/>
      <c r="K19" s="2449"/>
      <c r="L19" s="2449"/>
      <c r="M19" s="2448">
        <v>1994</v>
      </c>
      <c r="N19" s="3157">
        <f>ROUND(1-(2024-M19)/50,2)</f>
        <v>0.4</v>
      </c>
      <c r="O19" s="3156">
        <f>(N20+N19)/2</f>
        <v>0.7</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2292</v>
      </c>
      <c r="D20" s="2451"/>
      <c r="E20" s="2438"/>
      <c r="F20" s="2438"/>
      <c r="G20" s="2438"/>
      <c r="H20" s="2438"/>
      <c r="I20" s="2438"/>
      <c r="J20" s="2438"/>
      <c r="K20" s="2449"/>
      <c r="L20" s="2449"/>
      <c r="M20" s="2448">
        <v>2024</v>
      </c>
      <c r="N20" s="3156">
        <v>1</v>
      </c>
      <c r="O20" s="2448"/>
      <c r="P20" s="2448"/>
      <c r="Q20" s="2448"/>
      <c r="R20" s="2448"/>
      <c r="S20" s="2448"/>
      <c r="T20" s="2448"/>
      <c r="U20" s="2448"/>
      <c r="V20" s="2448"/>
      <c r="W20" s="2438"/>
      <c r="X20" s="3153"/>
      <c r="Y20" s="3153"/>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f>B20</f>
        <v>2</v>
      </c>
      <c r="C21" s="2438"/>
      <c r="D21" s="2451"/>
      <c r="E21" s="2438"/>
      <c r="F21" s="2438"/>
      <c r="G21" s="2438"/>
      <c r="H21" s="2438"/>
      <c r="I21" s="2438"/>
      <c r="J21" s="2438"/>
      <c r="K21" s="2449"/>
      <c r="L21" s="2449"/>
      <c r="M21" s="2448"/>
      <c r="N21" s="2448"/>
      <c r="O21" s="3159">
        <f>N6+1</f>
        <v>1.9</v>
      </c>
      <c r="P21" s="2448"/>
      <c r="Q21" s="2448"/>
      <c r="R21" s="2448"/>
      <c r="S21" s="2448"/>
      <c r="T21" s="2448"/>
      <c r="U21" s="2448"/>
      <c r="V21" s="2448"/>
      <c r="W21" s="3154"/>
      <c r="X21" s="2449"/>
      <c r="Y21" s="2449"/>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3154"/>
      <c r="X22" s="2449"/>
      <c r="Y22" s="2449"/>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38"/>
      <c r="X23" s="2449"/>
      <c r="Y23" s="2449"/>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f>ROUND(1-(2024-2019)/50,2)</f>
        <v>0.9</v>
      </c>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283</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0.03</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3.3500000000000002E-2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30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144</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54" t="s">
        <v>2277</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23" sqref="H23"/>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14139.199999999999</v>
      </c>
      <c r="C1" s="2461"/>
      <c r="D1" s="2461"/>
      <c r="E1" s="2461"/>
      <c r="F1" s="2461"/>
      <c r="G1" s="2462"/>
      <c r="H1" s="2462"/>
      <c r="I1" s="2462"/>
      <c r="J1" s="2462"/>
      <c r="K1" s="2462"/>
    </row>
    <row r="2" spans="1:11" ht="16.5">
      <c r="A2" s="2299" t="s">
        <v>653</v>
      </c>
      <c r="B2" s="2299">
        <f>SUM(C14:C23)</f>
        <v>9256.19</v>
      </c>
      <c r="C2" s="2461"/>
      <c r="D2" s="2461"/>
      <c r="E2" s="2461"/>
      <c r="F2" s="2461"/>
      <c r="G2" s="2462"/>
      <c r="H2" s="2462"/>
      <c r="I2" s="2462"/>
      <c r="J2" s="2462"/>
      <c r="K2" s="2462"/>
    </row>
    <row r="3" spans="1:11" ht="16.5">
      <c r="A3" s="2299" t="s">
        <v>662</v>
      </c>
      <c r="B3" s="2301">
        <f>项目基本情况!D3</f>
        <v>45574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50724</v>
      </c>
      <c r="C5" s="2299">
        <f ca="1">IF(B5=D14,结果表!H102,ROUND(B5*10000/$B$1,0))</f>
        <v>35875</v>
      </c>
      <c r="D5" s="2299">
        <f ca="1">ROUND(B5*10000/$B$2,0)</f>
        <v>54800</v>
      </c>
      <c r="E5" s="2461"/>
      <c r="F5" s="2462"/>
      <c r="G5" s="2462"/>
      <c r="H5" s="2462"/>
      <c r="I5" s="2462"/>
      <c r="J5" s="2462"/>
      <c r="K5" s="2462"/>
    </row>
    <row r="6" spans="1:11" ht="16.5">
      <c r="A6" s="2299" t="s">
        <v>656</v>
      </c>
      <c r="B6" s="2299">
        <f ca="1">SUM(G14:G23)</f>
        <v>50724</v>
      </c>
      <c r="C6" s="2299">
        <f ca="1">IF(B6=G14,结果表!H108,ROUND(B6*10000/$B$1,0))</f>
        <v>35875</v>
      </c>
      <c r="D6" s="2299">
        <f ca="1">ROUND(B6*10000/$B$2,0)</f>
        <v>54800</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面积!D24</f>
        <v>14139.199999999999</v>
      </c>
      <c r="C14" s="2305">
        <f>'数据-汇总表'!D3</f>
        <v>9256.19</v>
      </c>
      <c r="D14" s="2305">
        <f ca="1">结果表!H101</f>
        <v>50724</v>
      </c>
      <c r="E14" s="2305">
        <f ca="1">ROUND(D14*10000/B14,0)</f>
        <v>35875</v>
      </c>
      <c r="F14" s="2305">
        <f ca="1">ROUND(D14*10000/C14,0)</f>
        <v>54800</v>
      </c>
      <c r="G14" s="2305">
        <f ca="1">D14</f>
        <v>50724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I21" sqref="I21"/>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t="s">
        <v>3386</v>
      </c>
      <c r="H1" s="1620" t="str">
        <f>IF(G1="现房","——","估价对象范围")</f>
        <v>——</v>
      </c>
      <c r="I1" s="1621" t="s">
        <v>3427</v>
      </c>
    </row>
    <row r="2" spans="1:12" ht="21.75" customHeight="1" thickBot="1">
      <c r="A2" s="3323" t="str">
        <f>项目基本情况!S2</f>
        <v>北京市房地产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23" t="s">
        <v>1265</v>
      </c>
      <c r="B4" s="1624" t="s">
        <v>1266</v>
      </c>
      <c r="C4" s="1625" t="s">
        <v>3428</v>
      </c>
      <c r="D4" s="1625" t="s">
        <v>3421</v>
      </c>
      <c r="E4" s="3332" t="s">
        <v>1267</v>
      </c>
      <c r="F4" s="3333"/>
      <c r="G4" s="3333"/>
      <c r="H4" s="3333"/>
      <c r="I4" s="333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1268</v>
      </c>
      <c r="B5" s="3326">
        <v>25</v>
      </c>
      <c r="C5" s="3329"/>
      <c r="D5" s="3317"/>
      <c r="E5" s="123" t="s">
        <v>1269</v>
      </c>
      <c r="F5" s="1626"/>
      <c r="G5" s="1626"/>
      <c r="H5" s="1626"/>
      <c r="I5" s="1281"/>
    </row>
    <row r="6" spans="1:12" ht="12.75">
      <c r="A6" s="3271"/>
      <c r="B6" s="3326"/>
      <c r="C6" s="3331"/>
      <c r="D6" s="3317"/>
      <c r="E6" s="123" t="s">
        <v>1270</v>
      </c>
      <c r="F6" s="1626"/>
      <c r="G6" s="1626"/>
      <c r="H6" s="1626"/>
      <c r="I6" s="1281"/>
    </row>
    <row r="7" spans="1:12" ht="12.75">
      <c r="A7" s="3271"/>
      <c r="B7" s="3326"/>
      <c r="C7" s="3330"/>
      <c r="D7" s="3317"/>
      <c r="E7" s="123" t="s">
        <v>1271</v>
      </c>
      <c r="F7" s="1626"/>
      <c r="G7" s="1626"/>
      <c r="H7" s="1626"/>
      <c r="I7" s="1281"/>
    </row>
    <row r="8" spans="1:12" ht="12.75">
      <c r="A8" s="3271" t="s">
        <v>1272</v>
      </c>
      <c r="B8" s="3326">
        <v>15</v>
      </c>
      <c r="C8" s="3329"/>
      <c r="D8" s="3317"/>
      <c r="E8" s="123" t="s">
        <v>1273</v>
      </c>
      <c r="F8" s="1626"/>
      <c r="G8" s="1626"/>
      <c r="H8" s="1626"/>
      <c r="I8" s="1281"/>
    </row>
    <row r="9" spans="1:12" ht="12.75">
      <c r="A9" s="3271"/>
      <c r="B9" s="3326"/>
      <c r="C9" s="3330"/>
      <c r="D9" s="3317"/>
      <c r="E9" s="123" t="s">
        <v>1274</v>
      </c>
      <c r="F9" s="1626"/>
      <c r="G9" s="1626"/>
      <c r="H9" s="1626"/>
      <c r="I9" s="1281"/>
    </row>
    <row r="10" spans="1:12" ht="12.75">
      <c r="A10" s="3271" t="s">
        <v>1275</v>
      </c>
      <c r="B10" s="3326">
        <v>15</v>
      </c>
      <c r="C10" s="3329"/>
      <c r="D10" s="3317"/>
      <c r="E10" s="123" t="s">
        <v>1276</v>
      </c>
      <c r="F10" s="1626"/>
      <c r="G10" s="1626"/>
      <c r="H10" s="1626"/>
      <c r="I10" s="1281"/>
    </row>
    <row r="11" spans="1:12" ht="12.75">
      <c r="A11" s="3271"/>
      <c r="B11" s="3326"/>
      <c r="C11" s="3330"/>
      <c r="D11" s="3317"/>
      <c r="E11" s="123" t="s">
        <v>1277</v>
      </c>
      <c r="F11" s="1626"/>
      <c r="G11" s="1626"/>
      <c r="H11" s="1626"/>
      <c r="I11" s="1281"/>
    </row>
    <row r="12" spans="1:12" ht="12.75">
      <c r="A12" s="3271" t="s">
        <v>1278</v>
      </c>
      <c r="B12" s="3326">
        <v>15</v>
      </c>
      <c r="C12" s="3329"/>
      <c r="D12" s="3317"/>
      <c r="E12" s="123" t="s">
        <v>1279</v>
      </c>
      <c r="F12" s="1626"/>
      <c r="G12" s="1626"/>
      <c r="H12" s="1626"/>
      <c r="I12" s="1281"/>
    </row>
    <row r="13" spans="1:12" ht="12.75">
      <c r="A13" s="3271"/>
      <c r="B13" s="3326"/>
      <c r="C13" s="3330"/>
      <c r="D13" s="3317"/>
      <c r="E13" s="123" t="s">
        <v>1280</v>
      </c>
      <c r="F13" s="1626"/>
      <c r="G13" s="1626"/>
      <c r="H13" s="1626"/>
      <c r="I13" s="1281"/>
    </row>
    <row r="14" spans="1:12" ht="12.75">
      <c r="A14" s="3271" t="s">
        <v>1281</v>
      </c>
      <c r="B14" s="3326">
        <v>30</v>
      </c>
      <c r="C14" s="3329">
        <v>5</v>
      </c>
      <c r="D14" s="3317">
        <v>5</v>
      </c>
      <c r="E14" s="123" t="s">
        <v>1282</v>
      </c>
      <c r="F14" s="1626"/>
      <c r="G14" s="1626"/>
      <c r="H14" s="1626"/>
      <c r="I14" s="1281"/>
    </row>
    <row r="15" spans="1:12" ht="12.75">
      <c r="A15" s="3271"/>
      <c r="B15" s="3326"/>
      <c r="C15" s="3331"/>
      <c r="D15" s="3317"/>
      <c r="E15" s="123" t="s">
        <v>1283</v>
      </c>
      <c r="F15" s="1626"/>
      <c r="G15" s="1626"/>
      <c r="H15" s="1626"/>
      <c r="I15" s="1281"/>
    </row>
    <row r="16" spans="1:12" ht="12.75">
      <c r="A16" s="3271"/>
      <c r="B16" s="3326"/>
      <c r="C16" s="3330"/>
      <c r="D16" s="3317"/>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48" t="s">
        <v>2131</v>
      </c>
      <c r="F18" s="3349"/>
      <c r="G18" s="3349"/>
      <c r="H18" s="3349"/>
      <c r="I18" s="3349"/>
      <c r="K18" s="294" t="s">
        <v>1289</v>
      </c>
      <c r="L18" s="294">
        <f>IF(C1="",'数据-汇总表'!E3,SUMIF(项目类型,C1,'数据-汇总表'!E17:E26)+SUMIF(项目类型,C1,'数据-汇总表'!I17:I26))</f>
        <v>14139.199999999997</v>
      </c>
      <c r="M18" s="294">
        <f>IF(C1="",'数据-汇总表'!E3,SUMIF(项目类型,C1,'数据-汇总表'!E17:E26))</f>
        <v>14139.199999999997</v>
      </c>
    </row>
    <row r="19" spans="1:36" ht="15">
      <c r="A19" s="1629" t="s">
        <v>1290</v>
      </c>
      <c r="B19" s="1630" t="s">
        <v>1291</v>
      </c>
      <c r="C19" s="126">
        <f ca="1">SUMIF(INDIRECT("'"&amp;C4&amp;"'"&amp;"!A:A"),结果表!B19,INDIRECT("'"&amp;C4&amp;"'"&amp;"!B:B"))</f>
        <v>67788</v>
      </c>
      <c r="D19" s="127">
        <f ca="1">SUMIF(INDIRECT("'"&amp;D4&amp;"'"&amp;"!A:A"),结果表!B19,INDIRECT("'"&amp;D4&amp;"'"&amp;"!B:B"))</f>
        <v>33659</v>
      </c>
      <c r="E19" s="1629" t="s">
        <v>1292</v>
      </c>
      <c r="F19" s="1630" t="s">
        <v>1291</v>
      </c>
      <c r="G19" s="128">
        <f ca="1">ROUND(C19*$C$18+D19*$D$18,0)</f>
        <v>50724</v>
      </c>
      <c r="H19" s="1631" t="s">
        <v>1293</v>
      </c>
      <c r="I19" s="121"/>
      <c r="K19" s="294" t="s">
        <v>1294</v>
      </c>
      <c r="L19" s="294">
        <f>IF(C1="",'数据-汇总表'!D3,SUMIF(项目类型,C1,'数据-汇总表'!D17:D26)+SUMIF(项目类型,C1,'数据-汇总表'!H17:H27))</f>
        <v>9256.19</v>
      </c>
      <c r="M19" s="294">
        <f>IF(C1="",'数据-汇总表'!D3,SUMIF(项目类型,C1,'数据-汇总表'!D17:D26))</f>
        <v>9256.19</v>
      </c>
    </row>
    <row r="20" spans="1:36" ht="15">
      <c r="A20" s="1632"/>
      <c r="B20" s="43" t="s">
        <v>1295</v>
      </c>
      <c r="C20" s="129">
        <f ca="1">SUMIF(INDIRECT("'"&amp;C4&amp;"'"&amp;"!A:A"),结果表!B20,INDIRECT("'"&amp;C4&amp;"'"&amp;"!B:B"))</f>
        <v>47943</v>
      </c>
      <c r="D20" s="130">
        <f ca="1">SUMIF(INDIRECT("'"&amp;D4&amp;"'"&amp;"!A:A"),结果表!B20,INDIRECT("'"&amp;D4&amp;"'"&amp;"!B:B"))</f>
        <v>23805</v>
      </c>
      <c r="E20" s="1632"/>
      <c r="F20" s="43" t="s">
        <v>1295</v>
      </c>
      <c r="G20" s="131">
        <f ca="1">ROUND(C20*$C$18+D20*$D$18,0)</f>
        <v>35874</v>
      </c>
      <c r="H20" s="760" t="s">
        <v>1296</v>
      </c>
      <c r="I20" s="121"/>
    </row>
    <row r="21" spans="1:36" ht="15" customHeight="1" thickBot="1">
      <c r="A21" s="449"/>
      <c r="B21" s="93" t="s">
        <v>1297</v>
      </c>
      <c r="C21" s="678">
        <f ca="1">ROUND(C19*10000/L19,0)</f>
        <v>73235</v>
      </c>
      <c r="D21" s="679">
        <f ca="1">ROUND(D19*10000/L19,0)</f>
        <v>36364</v>
      </c>
      <c r="E21" s="449"/>
      <c r="F21" s="93" t="s">
        <v>1297</v>
      </c>
      <c r="G21" s="132">
        <f ca="1">ROUND(G19*10000/L19,0)</f>
        <v>54800</v>
      </c>
      <c r="H21" s="1633" t="s">
        <v>1296</v>
      </c>
      <c r="I21" s="121"/>
    </row>
    <row r="22" spans="1:36" ht="15" thickBot="1">
      <c r="A22" s="1563" t="s">
        <v>1298</v>
      </c>
      <c r="B22" s="1634"/>
      <c r="C22" s="1635"/>
      <c r="D22" s="680">
        <f ca="1">IF(C19&lt;D19,D19/C19-1,C19/D19-1)</f>
        <v>1.0139635758638104</v>
      </c>
      <c r="E22" s="121"/>
      <c r="F22" s="121"/>
      <c r="G22" s="121"/>
      <c r="H22" s="121"/>
      <c r="I22" s="121"/>
    </row>
    <row r="23" spans="1:36" ht="13.5" thickBot="1">
      <c r="A23" s="646"/>
      <c r="B23" s="646"/>
      <c r="C23" s="646"/>
      <c r="D23" s="646"/>
      <c r="E23" s="121"/>
      <c r="F23" s="121"/>
      <c r="G23" s="121"/>
      <c r="H23" s="121"/>
      <c r="I23" s="121"/>
    </row>
    <row r="24" spans="1:36" ht="14.25">
      <c r="A24" s="3341" t="s">
        <v>1299</v>
      </c>
      <c r="B24" s="1630" t="s">
        <v>1291</v>
      </c>
      <c r="C24" s="128">
        <f>IF(B30=0,0,D30)</f>
        <v>0</v>
      </c>
      <c r="D24" s="1636"/>
      <c r="E24" s="121"/>
      <c r="F24" s="121"/>
      <c r="G24" s="121"/>
      <c r="H24" s="121"/>
      <c r="I24" s="121"/>
    </row>
    <row r="25" spans="1:36" ht="14.25">
      <c r="A25" s="334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50724</v>
      </c>
      <c r="D32" s="1640" t="s">
        <v>3440</v>
      </c>
      <c r="E32" s="121"/>
      <c r="F32" s="121"/>
      <c r="G32" s="121"/>
      <c r="H32" s="121"/>
      <c r="I32" s="121"/>
    </row>
    <row r="33" spans="1:15" ht="15">
      <c r="A33" s="740" t="s">
        <v>1306</v>
      </c>
      <c r="B33" s="123"/>
      <c r="C33" s="1641" t="s">
        <v>3441</v>
      </c>
      <c r="D33" s="1642" t="s">
        <v>3428</v>
      </c>
      <c r="E33" s="1643" t="s">
        <v>1307</v>
      </c>
      <c r="F33" s="1644" t="str">
        <f>IF(D32="楼面单价","取值（单价）","取值（总价）")</f>
        <v>取值（总价）</v>
      </c>
      <c r="G33" s="121"/>
      <c r="H33" s="121"/>
      <c r="I33" s="121"/>
    </row>
    <row r="34" spans="1:15" ht="15">
      <c r="A34" s="1645"/>
      <c r="B34" s="1646" t="s">
        <v>1308</v>
      </c>
      <c r="C34" s="140">
        <f ca="1">IF(C33="自定义",F34,C32-C35)</f>
        <v>46007</v>
      </c>
      <c r="D34" s="808">
        <f ca="1">IF(C33="自定义",ROUND(C34/C32,3),IF(C33="收益比率",SUMIF(INDIRECT("'"&amp;D33&amp;"'"&amp;"!b:b"),"土地收益比率",INDIRECT("'"&amp;D33&amp;"'"&amp;"!c:c")),SUMIF(INDIRECT("'"&amp;D33&amp;"'"&amp;"!b:b"),"土地成本比率",INDIRECT("'"&amp;D33&amp;"'"&amp;"!c:c"))))</f>
        <v>0.90700000000000003</v>
      </c>
      <c r="E34" s="1647" t="s">
        <v>1309</v>
      </c>
      <c r="F34" s="1243"/>
      <c r="G34" s="121"/>
      <c r="H34" s="121"/>
      <c r="I34" s="121"/>
    </row>
    <row r="35" spans="1:15" ht="15.75" thickBot="1">
      <c r="A35" s="1648"/>
      <c r="B35" s="1649" t="s">
        <v>1310</v>
      </c>
      <c r="C35" s="1090">
        <f ca="1">IF(C33="自定义",F35,ROUND(C32*D35,0))</f>
        <v>4717</v>
      </c>
      <c r="D35" s="1091">
        <f ca="1">IF(C33="自定义",ROUND(C35/C32,3),IF(C33="收益比率",SUMIF(INDIRECT("'"&amp;D33&amp;"'"&amp;"!b:b"),"建筑物收益比率",INDIRECT("'"&amp;D33&amp;"'"&amp;"!c:c")),SUMIF(INDIRECT("'"&amp;D33&amp;"'"&amp;"!b:b"),"建筑物成本比率",INDIRECT("'"&amp;D33&amp;"'"&amp;"!c:c"))))</f>
        <v>9.2999999999999999E-2</v>
      </c>
      <c r="E35" s="1650" t="s">
        <v>1311</v>
      </c>
      <c r="F35" s="146"/>
      <c r="G35" s="121"/>
      <c r="H35" s="121"/>
      <c r="I35" s="121"/>
    </row>
    <row r="36" spans="1:15" ht="15.75" thickBot="1">
      <c r="A36" s="3318" t="s">
        <v>1312</v>
      </c>
      <c r="B36" s="1651" t="s">
        <v>1313</v>
      </c>
      <c r="C36" s="137"/>
      <c r="D36" s="1652"/>
      <c r="E36" s="1566"/>
      <c r="F36" s="1653"/>
      <c r="G36" s="121"/>
      <c r="H36" s="121"/>
      <c r="I36" s="121"/>
    </row>
    <row r="37" spans="1:15" ht="15.75" thickBot="1">
      <c r="A37" s="3319"/>
      <c r="B37" s="1554" t="s">
        <v>1314</v>
      </c>
      <c r="C37" s="139"/>
      <c r="D37" s="1071"/>
      <c r="E37" s="1071"/>
      <c r="F37" s="1653"/>
      <c r="G37" s="121"/>
      <c r="H37" s="121"/>
      <c r="I37" s="121"/>
    </row>
    <row r="38" spans="1:15" ht="15.75" thickBot="1">
      <c r="A38" s="3320"/>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8" t="s">
        <v>1326</v>
      </c>
      <c r="B45" s="3339"/>
      <c r="C45" s="3340"/>
      <c r="D45" s="147">
        <f ca="1">ROUND(H101*F45,0)</f>
        <v>50724</v>
      </c>
      <c r="E45" s="148" t="s">
        <v>1327</v>
      </c>
      <c r="F45" s="149">
        <v>1</v>
      </c>
      <c r="G45" s="150" t="s">
        <v>1328</v>
      </c>
      <c r="H45" s="121"/>
      <c r="I45" s="121"/>
      <c r="J45" s="3258" t="s">
        <v>1329</v>
      </c>
      <c r="K45" s="3258"/>
      <c r="L45" s="3258"/>
      <c r="M45" s="3258"/>
      <c r="N45" s="3258"/>
      <c r="O45" s="3258"/>
    </row>
    <row r="46" spans="1:15" ht="14.25" customHeight="1">
      <c r="A46" s="3335" t="s">
        <v>1330</v>
      </c>
      <c r="B46" s="3336"/>
      <c r="C46" s="3336"/>
      <c r="D46" s="3336"/>
      <c r="E46" s="3336"/>
      <c r="F46" s="3336"/>
      <c r="G46" s="3337"/>
      <c r="H46" s="1667"/>
      <c r="I46" s="151"/>
      <c r="J46" s="2309">
        <v>1</v>
      </c>
      <c r="K46" s="3259" t="s">
        <v>1331</v>
      </c>
      <c r="L46" s="3259"/>
      <c r="M46" s="3260"/>
      <c r="N46" s="3260"/>
      <c r="O46" s="3260"/>
    </row>
    <row r="47" spans="1:15" ht="12" customHeight="1">
      <c r="A47" s="152" t="s">
        <v>1332</v>
      </c>
      <c r="B47" s="153"/>
      <c r="C47" s="154"/>
      <c r="D47" s="1024" t="s">
        <v>1333</v>
      </c>
      <c r="E47" s="294" t="s">
        <v>1334</v>
      </c>
      <c r="F47" s="155" t="s">
        <v>1335</v>
      </c>
      <c r="G47" s="2332" t="s">
        <v>1336</v>
      </c>
      <c r="H47" s="2333"/>
      <c r="I47" s="151"/>
      <c r="J47" s="2309">
        <v>2</v>
      </c>
      <c r="K47" s="3259" t="s">
        <v>1337</v>
      </c>
      <c r="L47" s="3259"/>
      <c r="M47" s="3261">
        <f>'数据-取费表'!B2</f>
        <v>45574</v>
      </c>
      <c r="N47" s="3261"/>
      <c r="O47" s="3261"/>
    </row>
    <row r="48" spans="1:15" ht="25.5">
      <c r="A48" s="3321" t="s">
        <v>1338</v>
      </c>
      <c r="B48" s="3322"/>
      <c r="C48" s="332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7"/>
      <c r="J48" s="2309">
        <v>3</v>
      </c>
      <c r="K48" s="3259" t="s">
        <v>1340</v>
      </c>
      <c r="L48" s="3259"/>
      <c r="M48" s="3262">
        <f ca="1">H101</f>
        <v>50724</v>
      </c>
      <c r="N48" s="3262"/>
      <c r="O48" s="3262"/>
    </row>
    <row r="49" spans="1:35" ht="25.5" customHeight="1">
      <c r="A49" s="2151" t="s">
        <v>1341</v>
      </c>
      <c r="B49" s="3307" t="s">
        <v>1342</v>
      </c>
      <c r="C49" s="3307"/>
      <c r="D49" s="1477">
        <v>0</v>
      </c>
      <c r="E49" s="316" t="s">
        <v>1343</v>
      </c>
      <c r="F49" s="2232" t="s">
        <v>28</v>
      </c>
      <c r="G49" s="3290"/>
      <c r="H49" s="2133" t="s">
        <v>2134</v>
      </c>
      <c r="I49" s="2134"/>
      <c r="J49" s="2309">
        <v>4</v>
      </c>
      <c r="K49" s="3259" t="str">
        <f>IF(项目基本情况!E8="房地产抵押价值","房地产抵押价值","抵押担保权已注销时的房地产抵押价值")</f>
        <v>房地产抵押价值</v>
      </c>
      <c r="L49" s="3259"/>
      <c r="M49" s="3262">
        <f ca="1">IF(项目基本情况!E8="房地产抵押价值",H107,H109)</f>
        <v>50724</v>
      </c>
      <c r="N49" s="3262"/>
      <c r="O49" s="3262"/>
    </row>
    <row r="50" spans="1:35" ht="25.5" customHeight="1">
      <c r="A50" s="2337"/>
      <c r="B50" s="3307" t="s">
        <v>1344</v>
      </c>
      <c r="C50" s="3307"/>
      <c r="D50" s="2188"/>
      <c r="E50" s="323"/>
      <c r="F50" s="2232"/>
      <c r="G50" s="3291"/>
      <c r="H50" s="2135" t="s">
        <v>2135</v>
      </c>
      <c r="I50" s="2134"/>
      <c r="J50" s="3258" t="s">
        <v>1345</v>
      </c>
      <c r="K50" s="3258"/>
      <c r="L50" s="3258"/>
      <c r="M50" s="3258"/>
      <c r="N50" s="3258"/>
      <c r="O50" s="3258"/>
    </row>
    <row r="51" spans="1:35" ht="20.45" customHeight="1">
      <c r="A51" s="2338"/>
      <c r="B51" s="3307" t="s">
        <v>1346</v>
      </c>
      <c r="C51" s="3307"/>
      <c r="D51" s="1024"/>
      <c r="E51" s="319"/>
      <c r="F51" s="2232"/>
      <c r="G51" s="3292"/>
      <c r="H51" s="2135" t="s">
        <v>2136</v>
      </c>
      <c r="I51" s="2134"/>
      <c r="J51" s="2310" t="s">
        <v>1347</v>
      </c>
      <c r="K51" s="3259" t="s">
        <v>1348</v>
      </c>
      <c r="L51" s="3259"/>
      <c r="M51" s="2310" t="s">
        <v>1349</v>
      </c>
      <c r="N51" s="2310" t="s">
        <v>1350</v>
      </c>
      <c r="O51" s="2310" t="s">
        <v>1351</v>
      </c>
    </row>
    <row r="52" spans="1:35" ht="24" customHeight="1">
      <c r="A52" s="2152" t="s">
        <v>1352</v>
      </c>
      <c r="B52" s="3307" t="s">
        <v>1353</v>
      </c>
      <c r="C52" s="3307"/>
      <c r="D52" s="1024">
        <f ca="1">ROUND(D45*'数据-取费表'!B41/(1+'数据-取费表'!C42),0)</f>
        <v>2705</v>
      </c>
      <c r="E52" s="1256" t="s">
        <v>1354</v>
      </c>
      <c r="F52" s="2339">
        <f>'数据-取费表'!B41</f>
        <v>5.6000000000000001E-2</v>
      </c>
      <c r="G52" s="2340"/>
      <c r="H52" s="2330"/>
      <c r="I52" s="1668"/>
      <c r="J52" s="2309">
        <v>1</v>
      </c>
      <c r="K52" s="3284" t="s">
        <v>1355</v>
      </c>
      <c r="L52" s="3284"/>
      <c r="M52" s="2311" t="b">
        <f>D48</f>
        <v>0</v>
      </c>
      <c r="N52" s="2309" t="str">
        <f>E48</f>
        <v>销售额×税（费）率</v>
      </c>
      <c r="O52" s="2312">
        <f>F48</f>
        <v>5.6000000000000001E-2</v>
      </c>
    </row>
    <row r="53" spans="1:35" ht="12" customHeight="1">
      <c r="A53" s="2152" t="s">
        <v>1356</v>
      </c>
      <c r="B53" s="3308" t="s">
        <v>2282</v>
      </c>
      <c r="C53" s="3309"/>
      <c r="D53" s="1024">
        <f ca="1">ROUND(D45*'数据-取费表'!B41/(1+'数据-取费表'!C42),0)</f>
        <v>2705</v>
      </c>
      <c r="E53" s="1256" t="s">
        <v>1354</v>
      </c>
      <c r="F53" s="2339">
        <f>'数据-取费表'!B41</f>
        <v>5.6000000000000001E-2</v>
      </c>
      <c r="G53" s="2340"/>
      <c r="H53" s="2330"/>
      <c r="I53" s="1668"/>
      <c r="J53" s="2309">
        <v>2</v>
      </c>
      <c r="K53" s="3284" t="s">
        <v>1357</v>
      </c>
      <c r="L53" s="3284"/>
      <c r="M53" s="2311">
        <f t="shared" ref="M53:O54" ca="1" si="0">D55</f>
        <v>25</v>
      </c>
      <c r="N53" s="2309" t="str">
        <f t="shared" si="0"/>
        <v>销售额×税（费）率</v>
      </c>
      <c r="O53" s="2312" t="str">
        <f t="shared" si="0"/>
        <v>免征</v>
      </c>
    </row>
    <row r="54" spans="1:35" ht="12" customHeight="1">
      <c r="A54" s="2152" t="s">
        <v>1358</v>
      </c>
      <c r="B54" s="3308" t="s">
        <v>2283</v>
      </c>
      <c r="C54" s="3309"/>
      <c r="D54" s="1024">
        <f ca="1">C68</f>
        <v>2705</v>
      </c>
      <c r="E54" s="319" t="s">
        <v>1359</v>
      </c>
      <c r="F54" s="2339">
        <f>'数据-取费表'!B41</f>
        <v>5.6000000000000001E-2</v>
      </c>
      <c r="G54" s="2340"/>
      <c r="H54" s="2341"/>
      <c r="I54" s="1668"/>
      <c r="J54" s="2309">
        <v>3</v>
      </c>
      <c r="K54" s="3284" t="s">
        <v>1360</v>
      </c>
      <c r="L54" s="3284"/>
      <c r="M54" s="2311">
        <f t="shared" ca="1" si="0"/>
        <v>28710</v>
      </c>
      <c r="N54" s="2309" t="str">
        <f t="shared" si="0"/>
        <v>增值额×税（费）率</v>
      </c>
      <c r="O54" s="2313" t="str">
        <f t="shared" si="0"/>
        <v>免征</v>
      </c>
    </row>
    <row r="55" spans="1:35" ht="24" customHeight="1">
      <c r="A55" s="3344" t="s">
        <v>1361</v>
      </c>
      <c r="B55" s="3322"/>
      <c r="C55" s="3322"/>
      <c r="D55" s="12">
        <f ca="1">IF(H55="个人住宅",0,ROUND(D45*I55,0))</f>
        <v>25</v>
      </c>
      <c r="E55" s="1256" t="s">
        <v>1362</v>
      </c>
      <c r="F55" s="2339" t="str">
        <f>IF(H55="正常",I55,"免征")</f>
        <v>免征</v>
      </c>
      <c r="G55" s="2340"/>
      <c r="H55" s="2336"/>
      <c r="I55" s="157">
        <f>'数据-取费表'!B49</f>
        <v>5.0000000000000001E-4</v>
      </c>
      <c r="J55" s="2309">
        <f>IF(H59="非个人房产","",4)</f>
        <v>4</v>
      </c>
      <c r="K55" s="3284" t="str">
        <f>IF(H59="非个人房产","——","个人所得税")</f>
        <v>个人所得税</v>
      </c>
      <c r="L55" s="3284"/>
      <c r="M55" s="2314">
        <f ca="1">D59</f>
        <v>483</v>
      </c>
      <c r="N55" s="1882" t="str">
        <f>E59</f>
        <v>差额计税</v>
      </c>
      <c r="O55" s="2315">
        <f>F59</f>
        <v>0.01</v>
      </c>
    </row>
    <row r="56" spans="1:35" ht="24.75">
      <c r="A56" s="3344" t="s">
        <v>1363</v>
      </c>
      <c r="B56" s="3322"/>
      <c r="C56" s="3322"/>
      <c r="D56" s="12">
        <f ca="1">IF(H56="个人住宅",D57,D58)</f>
        <v>28710</v>
      </c>
      <c r="E56" s="1256" t="s">
        <v>1364</v>
      </c>
      <c r="F56" s="2339" t="str">
        <f>IF(H56="正常",F58,"免征")</f>
        <v>免征</v>
      </c>
      <c r="G56" s="2342" t="s">
        <v>1365</v>
      </c>
      <c r="H56" s="2343"/>
      <c r="I56" s="1669"/>
      <c r="J56" s="2309" t="str">
        <f>IF(项目基本情况!K6="上海银行",IF(J55="",4,J55+1),"")</f>
        <v/>
      </c>
      <c r="K56" s="3265" t="str">
        <f>IF(项目基本情况!K6="上海银行","其他处置费用","")</f>
        <v/>
      </c>
      <c r="L56" s="3266"/>
      <c r="M56" s="2311" t="str">
        <f>IF(项目基本情况!K6="上海银行",M69,"")</f>
        <v/>
      </c>
      <c r="N56" s="3265" t="str">
        <f>IF(项目基本情况!K6="上海银行","包含处置中涉及的律师、诉讼、拍卖、评估等费用","")</f>
        <v/>
      </c>
      <c r="O56" s="3268"/>
    </row>
    <row r="57" spans="1:35" ht="12.75">
      <c r="A57" s="2152" t="s">
        <v>1341</v>
      </c>
      <c r="B57" s="3308" t="s">
        <v>1366</v>
      </c>
      <c r="C57" s="3309"/>
      <c r="D57" s="1477">
        <v>0</v>
      </c>
      <c r="E57" s="316" t="s">
        <v>1343</v>
      </c>
      <c r="F57" s="294"/>
      <c r="G57" s="2340"/>
      <c r="H57" s="2344"/>
      <c r="I57" s="1669"/>
      <c r="J57" s="3284">
        <f>IF(AND(J55="",J56=""),4,IF(项目基本情况!K6="上海银行",结果表!J56+1,结果表!J55+1))</f>
        <v>5</v>
      </c>
      <c r="K57" s="3284" t="s">
        <v>1367</v>
      </c>
      <c r="L57" s="2316" t="s">
        <v>1368</v>
      </c>
      <c r="M57" s="2317"/>
      <c r="N57" s="2318">
        <f ca="1">SUMIF(M52:M56,"&lt;9e307")</f>
        <v>29218</v>
      </c>
      <c r="O57" s="2319"/>
      <c r="P57" s="2464">
        <f ca="1">N57/M49</f>
        <v>0.5760192413847488</v>
      </c>
    </row>
    <row r="58" spans="1:35" ht="24.75">
      <c r="A58" s="2152" t="s">
        <v>1352</v>
      </c>
      <c r="B58" s="3308" t="s">
        <v>1369</v>
      </c>
      <c r="C58" s="3307"/>
      <c r="D58" s="12">
        <f ca="1">IF(H58="转让取得",C81,C97)</f>
        <v>28710</v>
      </c>
      <c r="E58" s="1256" t="s">
        <v>1364</v>
      </c>
      <c r="F58" s="294" t="s">
        <v>28</v>
      </c>
      <c r="G58" s="2340"/>
      <c r="H58" s="2343"/>
      <c r="I58" s="1669"/>
      <c r="J58" s="3284"/>
      <c r="K58" s="3284"/>
      <c r="L58" s="2316" t="s">
        <v>1370</v>
      </c>
      <c r="M58" s="2320"/>
      <c r="N58" s="2321" t="str">
        <f ca="1">NUMBERSTRING(INT(N57*10000),2)&amp;"元整"</f>
        <v>贰亿玖仟贰佰壹拾捌万元整</v>
      </c>
      <c r="O58" s="2322"/>
    </row>
    <row r="59" spans="1:35" ht="24.75" thickBot="1">
      <c r="A59" s="3288" t="s">
        <v>1371</v>
      </c>
      <c r="B59" s="3289"/>
      <c r="C59" s="3289"/>
      <c r="D59" s="2345">
        <f ca="1">IF(H59="非个人房产","——",IF(H59="个人住宅（满五唯一有凭证）",0,IF(H59="个人其他（无凭证）",ROUND(D45*F59,0),ROUND(C67*F59,0))))</f>
        <v>483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86">
        <f>J57+1</f>
        <v>6</v>
      </c>
      <c r="K59" s="3284" t="s">
        <v>1372</v>
      </c>
      <c r="L59" s="2309" t="s">
        <v>1368</v>
      </c>
      <c r="M59" s="2323"/>
      <c r="N59" s="2324">
        <f ca="1">M49-N57</f>
        <v>21506</v>
      </c>
      <c r="O59" s="2325"/>
    </row>
    <row r="60" spans="1:35" ht="12" customHeight="1">
      <c r="A60" s="1670"/>
      <c r="B60" s="646"/>
      <c r="C60" s="646"/>
      <c r="D60" s="646"/>
      <c r="E60" s="1465"/>
      <c r="F60" s="1669"/>
      <c r="G60" s="1669"/>
      <c r="H60" s="151"/>
      <c r="I60" s="121"/>
      <c r="J60" s="3287"/>
      <c r="K60" s="3284"/>
      <c r="L60" s="2316" t="s">
        <v>1370</v>
      </c>
      <c r="M60" s="2320"/>
      <c r="N60" s="2321" t="str">
        <f ca="1">NUMBERSTRING(INT(N59*10000),2)&amp;"元整"</f>
        <v>贰亿壹仟伍佰零陆万元整</v>
      </c>
      <c r="O60" s="2322"/>
    </row>
    <row r="61" spans="1:35" ht="13.5" thickBot="1">
      <c r="A61" s="3343" t="s">
        <v>1373</v>
      </c>
      <c r="B61" s="3343"/>
      <c r="C61" s="3343"/>
      <c r="D61" s="3343"/>
      <c r="E61" s="3343"/>
      <c r="F61" s="1669"/>
      <c r="G61" s="1669"/>
      <c r="H61" s="151"/>
      <c r="I61" s="121"/>
      <c r="J61" s="2309">
        <f>J59+1</f>
        <v>7</v>
      </c>
      <c r="K61" s="3284" t="s">
        <v>1374</v>
      </c>
      <c r="L61" s="3284"/>
      <c r="M61" s="2326"/>
      <c r="N61" s="2327">
        <f ca="1">ROUND(N59*10000/'数据-汇总表'!E3,0)</f>
        <v>15210</v>
      </c>
      <c r="O61" s="2328"/>
    </row>
    <row r="62" spans="1:35" ht="12.75">
      <c r="A62" s="3303" t="s">
        <v>1375</v>
      </c>
      <c r="B62" s="3304"/>
      <c r="C62" s="1864"/>
      <c r="D62" s="1864" t="s">
        <v>1376</v>
      </c>
      <c r="E62" s="158" t="s">
        <v>1377</v>
      </c>
      <c r="F62" s="1669"/>
      <c r="G62" s="1669"/>
      <c r="H62" s="151"/>
      <c r="I62" s="121"/>
    </row>
    <row r="63" spans="1:35" ht="12.75">
      <c r="A63" s="165" t="s">
        <v>330</v>
      </c>
      <c r="B63" s="159" t="s">
        <v>1378</v>
      </c>
      <c r="C63" s="2349">
        <f ca="1">ROUND((C64+C65)/(1+'数据-取费表'!C42),0)</f>
        <v>48309</v>
      </c>
      <c r="D63" s="159"/>
      <c r="E63" s="160"/>
      <c r="F63" s="1669"/>
      <c r="G63" s="1669"/>
      <c r="H63" s="151"/>
      <c r="I63" s="121"/>
      <c r="J63" s="3267" t="s">
        <v>1379</v>
      </c>
      <c r="K63" s="1245" t="s">
        <v>1380</v>
      </c>
      <c r="L63" s="1245">
        <f ca="1">IF(M49&gt;10000,M49*0.5%,IF(AND(M49&gt;1000,M49&lt;=10000),M49*1%,IF(AND(M49&gt;100,M49&lt;=1000),M49*3%,IF(AND(M49&gt;10,M49&lt;=100),M49*5%,M49*8%))))</f>
        <v>253.62</v>
      </c>
      <c r="M63" s="294">
        <f ca="1">ROUND(L63,1)</f>
        <v>253.6</v>
      </c>
      <c r="N63" s="2329"/>
      <c r="Z63" s="1622"/>
      <c r="AI63" s="1560"/>
    </row>
    <row r="64" spans="1:35" ht="14.25" customHeight="1">
      <c r="A64" s="161" t="s">
        <v>325</v>
      </c>
      <c r="B64" s="162" t="s">
        <v>1381</v>
      </c>
      <c r="C64" s="2350">
        <f ca="1">D45</f>
        <v>50724</v>
      </c>
      <c r="D64" s="162" t="s">
        <v>26</v>
      </c>
      <c r="E64" s="164"/>
      <c r="F64" s="1669"/>
      <c r="G64" s="1669"/>
      <c r="H64" s="151"/>
      <c r="I64" s="121"/>
      <c r="J64" s="3267"/>
      <c r="K64" s="1245" t="s">
        <v>1382</v>
      </c>
      <c r="L64" s="1245">
        <f ca="1">IF(M49&gt;2000,M49*0.5%,IF(AND(M49&gt;1000,M49&lt;=2000),M49*0.6%,IF(AND(M49&gt;500,M49&lt;=1000),M49*0.7%,IF(AND(M49&gt;200,M49&lt;=500),M49*0.8%,IF(AND(M49&gt;100,M49&lt;=200),M49*0.9%,IF(AND(M49&gt;50,M49&lt;=100),M49*1%,IF(AND(M49&gt;20,M49&lt;=50),M49*1.5%,IF(AND(M49&gt;10,M49&lt;=20),M49*2%,IF(AND(M49&gt;1,M49&lt;=10),M49*2.5%)))))))))</f>
        <v>253.62</v>
      </c>
      <c r="M64" s="294">
        <f t="shared" ref="M64:M65" ca="1" si="1">ROUND(L64,1)</f>
        <v>253.6</v>
      </c>
      <c r="N64" s="2330" t="s">
        <v>1383</v>
      </c>
      <c r="Z64" s="1622"/>
      <c r="AI64" s="1560"/>
    </row>
    <row r="65" spans="1:35" ht="14.25" customHeight="1">
      <c r="A65" s="161" t="s">
        <v>326</v>
      </c>
      <c r="B65" s="162" t="s">
        <v>1384</v>
      </c>
      <c r="C65" s="2351"/>
      <c r="D65" s="162"/>
      <c r="E65" s="164"/>
      <c r="F65" s="1669"/>
      <c r="G65" s="1669"/>
      <c r="H65" s="151"/>
      <c r="I65" s="121"/>
      <c r="J65" s="3267"/>
      <c r="K65" s="1245" t="s">
        <v>1385</v>
      </c>
      <c r="L65" s="1245">
        <f ca="1">IF(M49&gt;1000,M49*0.1%,IF(AND(M49&gt;500,M49&lt;=1000),M49*0.5%,IF(AND(M49&gt;50,M49&lt;=500),M49*1%,IF(AND(M49&gt;1,M49&lt;=50),M49*1.5%))))</f>
        <v>50.724000000000004</v>
      </c>
      <c r="M65" s="294">
        <f t="shared" ca="1" si="1"/>
        <v>50.7</v>
      </c>
      <c r="N65" s="2330" t="s">
        <v>1383</v>
      </c>
      <c r="Z65" s="1622"/>
      <c r="AI65" s="1560"/>
    </row>
    <row r="66" spans="1:35" ht="14.25" customHeight="1">
      <c r="A66" s="165" t="s">
        <v>327</v>
      </c>
      <c r="B66" s="166" t="s">
        <v>1386</v>
      </c>
      <c r="C66" s="2352"/>
      <c r="D66" s="166" t="s">
        <v>26</v>
      </c>
      <c r="E66" s="1251" t="s">
        <v>671</v>
      </c>
      <c r="F66" s="1669"/>
      <c r="G66" s="1669"/>
      <c r="H66" s="151"/>
      <c r="I66" s="121"/>
      <c r="J66" s="3267"/>
      <c r="K66" s="1245" t="s">
        <v>1387</v>
      </c>
      <c r="L66" s="1245">
        <f ca="1">M49*0.5%</f>
        <v>253.62</v>
      </c>
      <c r="M66" s="294">
        <f ca="1">IF(L66&gt;0.5,0.5,ROUND(L66,0))</f>
        <v>0.5</v>
      </c>
      <c r="N66" s="2330" t="s">
        <v>1388</v>
      </c>
      <c r="Z66" s="1622"/>
      <c r="AI66" s="1560"/>
    </row>
    <row r="67" spans="1:35" ht="14.25" customHeight="1">
      <c r="A67" s="165" t="s">
        <v>328</v>
      </c>
      <c r="B67" s="166" t="s">
        <v>1389</v>
      </c>
      <c r="C67" s="2353">
        <f ca="1">C63-C66</f>
        <v>48309</v>
      </c>
      <c r="D67" s="162" t="s">
        <v>26</v>
      </c>
      <c r="E67" s="164"/>
      <c r="F67" s="1669"/>
      <c r="G67" s="1669"/>
      <c r="H67" s="151"/>
      <c r="I67" s="121"/>
      <c r="J67" s="3267"/>
      <c r="K67" s="1245" t="s">
        <v>1390</v>
      </c>
      <c r="L67" s="1245">
        <f ca="1">IF(M49&gt;=10000,(8.25+(M49-10000)*0.01%),IF(AND(M49&gt;=8000,M49&lt;10000),(7.85+(M49-8000)*0.02%),IF(AND(M49&gt;=5000,M49&lt;8000),(6.65+(M49-5000)*0.04%),IF(AND(M49&gt;=2000,M49&lt;5000),(4.25+(PM49-2000)*0.08%),IF(AND(M49&gt;=1000,M49&lt;2000),(2.75+(M49-1000)*0.15%),IF(AND(M49&gt;=100,M49&lt;1000),(0.5+(M49-100)*0.25%),IF(AND(M49&gt;0,M49&lt;100),M49*0.5%)))))))</f>
        <v>12.3224</v>
      </c>
      <c r="M67" s="294">
        <f ca="1">ROUND(L67*0.9,1)</f>
        <v>11.1</v>
      </c>
      <c r="N67" s="2329"/>
      <c r="Z67" s="1622"/>
      <c r="AI67" s="1560"/>
    </row>
    <row r="68" spans="1:35" ht="14.25" customHeight="1" thickBot="1">
      <c r="A68" s="168" t="s">
        <v>329</v>
      </c>
      <c r="B68" s="169" t="s">
        <v>1391</v>
      </c>
      <c r="C68" s="2354">
        <f ca="1">IF(C67&lt;=0,0,ROUND(C67*D68,0))</f>
        <v>2705</v>
      </c>
      <c r="D68" s="2355">
        <f>'数据-取费表'!B41</f>
        <v>5.6000000000000001E-2</v>
      </c>
      <c r="E68" s="170"/>
      <c r="F68" s="1669"/>
      <c r="G68" s="1669"/>
      <c r="H68" s="151"/>
      <c r="I68" s="121"/>
      <c r="J68" s="3267"/>
      <c r="K68" s="1245" t="s">
        <v>1392</v>
      </c>
      <c r="L68" s="1245">
        <f ca="1">IF(M49&gt;10000,M49*0.5%,IF(AND(M49&gt;5000,M49&lt;=10000),M49*1%,IF(AND(M49&gt;1000,M49&lt;=5000),M49*2%,IF(AND(M49&gt;200,M49&lt;=1000),M49*3%,M49*5%))))</f>
        <v>253.62</v>
      </c>
      <c r="M68" s="294">
        <f ca="1">ROUND(L68,1)</f>
        <v>253.6</v>
      </c>
      <c r="N68" s="2329"/>
      <c r="Z68" s="1622"/>
      <c r="AI68" s="1560"/>
    </row>
    <row r="69" spans="1:35" ht="16.5" customHeight="1">
      <c r="A69" s="1671"/>
      <c r="B69" s="1672"/>
      <c r="C69" s="1673"/>
      <c r="D69" s="1674"/>
      <c r="E69" s="1675"/>
      <c r="F69" s="1465"/>
      <c r="G69" s="1465"/>
      <c r="H69" s="1466"/>
      <c r="I69" s="646"/>
      <c r="J69" s="3267"/>
      <c r="K69" s="1245" t="s">
        <v>1393</v>
      </c>
      <c r="L69" s="1245"/>
      <c r="M69" s="294">
        <f ca="1">ROUND(SUM(M63:M68),0)</f>
        <v>823</v>
      </c>
      <c r="N69" s="2331">
        <f ca="1">M69/M49</f>
        <v>1.6225061115054017E-2</v>
      </c>
      <c r="Z69" s="1622"/>
      <c r="AI69" s="1560"/>
    </row>
    <row r="70" spans="1:35" s="642" customFormat="1" ht="15" thickBot="1">
      <c r="A70" s="3311" t="s">
        <v>1394</v>
      </c>
      <c r="B70" s="3312"/>
      <c r="C70" s="3312"/>
      <c r="D70" s="3312"/>
      <c r="E70" s="3312"/>
      <c r="F70" s="3312"/>
      <c r="G70" s="3312"/>
      <c r="H70" s="331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3" t="s">
        <v>1375</v>
      </c>
      <c r="B71" s="330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48309</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290</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08" t="s">
        <v>1402</v>
      </c>
      <c r="F76" s="3307"/>
      <c r="G76" s="3307"/>
      <c r="H76" s="331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290</v>
      </c>
      <c r="D78" s="2362">
        <f>'数据-取费表'!B43</f>
        <v>6.000000000000001E-3</v>
      </c>
      <c r="E78" s="3300" t="s">
        <v>1406</v>
      </c>
      <c r="F78" s="3301"/>
      <c r="G78" s="3301"/>
      <c r="H78" s="330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48019</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165.58275862068965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28710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1" t="s">
        <v>1410</v>
      </c>
      <c r="B83" s="3312"/>
      <c r="C83" s="3312"/>
      <c r="D83" s="3312"/>
      <c r="E83" s="3312"/>
      <c r="F83" s="3312"/>
      <c r="G83" s="3312"/>
      <c r="H83" s="331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3" t="s">
        <v>1375</v>
      </c>
      <c r="B84" s="330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48309</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290</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69" t="s">
        <v>2129</v>
      </c>
      <c r="H90" s="3270"/>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300" t="s">
        <v>1419</v>
      </c>
      <c r="F91" s="3301"/>
      <c r="G91" s="330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300" t="s">
        <v>1422</v>
      </c>
      <c r="F92" s="3301"/>
      <c r="G92" s="3301"/>
      <c r="H92" s="3302"/>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290</v>
      </c>
      <c r="D93" s="2362">
        <f>'数据-取费表'!B43</f>
        <v>6.000000000000001E-3</v>
      </c>
      <c r="E93" s="3300" t="s">
        <v>1406</v>
      </c>
      <c r="F93" s="3301"/>
      <c r="G93" s="3301"/>
      <c r="H93" s="330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45" t="s">
        <v>1426</v>
      </c>
      <c r="F94" s="3346"/>
      <c r="G94" s="3346"/>
      <c r="H94" s="334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48019</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165.58275862068965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28710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0" t="s">
        <v>1428</v>
      </c>
      <c r="B100" s="3251"/>
      <c r="C100" s="3251"/>
      <c r="D100" s="3285"/>
      <c r="E100" s="3251" t="s">
        <v>1429</v>
      </c>
      <c r="F100" s="3251"/>
      <c r="G100" s="3251"/>
      <c r="H100" s="3285"/>
      <c r="I100" s="121"/>
    </row>
    <row r="101" spans="1:35" ht="18.75" customHeight="1">
      <c r="A101" s="3293" t="s">
        <v>1430</v>
      </c>
      <c r="B101" s="3294"/>
      <c r="C101" s="2370" t="str">
        <f>C4</f>
        <v>成本法</v>
      </c>
      <c r="D101" s="2371" t="str">
        <f>D4</f>
        <v>收益法</v>
      </c>
      <c r="E101" s="3263" t="s">
        <v>1431</v>
      </c>
      <c r="F101" s="3264"/>
      <c r="G101" s="1686" t="s">
        <v>1432</v>
      </c>
      <c r="H101" s="2380">
        <f ca="1">H118</f>
        <v>50724</v>
      </c>
      <c r="I101" s="121"/>
    </row>
    <row r="102" spans="1:35" ht="18.75" customHeight="1">
      <c r="A102" s="3295" t="s">
        <v>1433</v>
      </c>
      <c r="B102" s="2369" t="s">
        <v>1432</v>
      </c>
      <c r="C102" s="2370">
        <f ca="1">IF(D32="楼面单价",ROUND(C19,0),C19)</f>
        <v>67788</v>
      </c>
      <c r="D102" s="2371">
        <f ca="1">IF(D32="楼面单价",ROUND(D19,0),D19)</f>
        <v>33659</v>
      </c>
      <c r="E102" s="3263"/>
      <c r="F102" s="3264"/>
      <c r="G102" s="1686" t="s">
        <v>1434</v>
      </c>
      <c r="H102" s="2340">
        <f ca="1">I118</f>
        <v>35875</v>
      </c>
      <c r="I102" s="121"/>
    </row>
    <row r="103" spans="1:35" ht="42.75" customHeight="1">
      <c r="A103" s="3295"/>
      <c r="B103" s="2369" t="s">
        <v>1434</v>
      </c>
      <c r="C103" s="2372">
        <f ca="1">C20</f>
        <v>47943</v>
      </c>
      <c r="D103" s="2373">
        <f ca="1">D20</f>
        <v>23805</v>
      </c>
      <c r="E103" s="3256" t="s">
        <v>1435</v>
      </c>
      <c r="F103" s="3257"/>
      <c r="G103" s="1687" t="s">
        <v>1436</v>
      </c>
      <c r="H103" s="2380">
        <f>IF(D36="正常操作",H104+H105+H106,H105+H106)</f>
        <v>0</v>
      </c>
      <c r="I103" s="121"/>
    </row>
    <row r="104" spans="1:35" ht="18.75" customHeight="1">
      <c r="A104" s="3295" t="s">
        <v>1437</v>
      </c>
      <c r="B104" s="2374" t="s">
        <v>1432</v>
      </c>
      <c r="C104" s="2375">
        <f ca="1">H118</f>
        <v>50724</v>
      </c>
      <c r="D104" s="2376"/>
      <c r="E104" s="1554" t="s">
        <v>1438</v>
      </c>
      <c r="F104" s="1547"/>
      <c r="G104" s="1687" t="s">
        <v>1436</v>
      </c>
      <c r="H104" s="2381">
        <f>IF(D36="同一抵押权人同一抵押物续贷",C36&amp;"（续贷，未扣减，详见特别提示）",C36)</f>
        <v>0</v>
      </c>
      <c r="I104" s="121"/>
    </row>
    <row r="105" spans="1:35" ht="18.75" customHeight="1" thickBot="1">
      <c r="A105" s="3305"/>
      <c r="B105" s="2377" t="s">
        <v>1434</v>
      </c>
      <c r="C105" s="2378">
        <f ca="1">I118</f>
        <v>35875</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96" t="str">
        <f>IF(项目基本情况!E8="已注销","——","3.房地产抵押价值")</f>
        <v>3.房地产抵押价值</v>
      </c>
      <c r="F107" s="3264"/>
      <c r="G107" s="1686" t="s">
        <v>1432</v>
      </c>
      <c r="H107" s="2380">
        <f ca="1">IF(E107="——","——",H101-H103)</f>
        <v>50724</v>
      </c>
      <c r="I107" s="121"/>
    </row>
    <row r="108" spans="1:35" ht="18.75" customHeight="1">
      <c r="A108" s="121"/>
      <c r="B108" s="121"/>
      <c r="C108" s="121"/>
      <c r="D108" s="121"/>
      <c r="E108" s="3296"/>
      <c r="F108" s="3264"/>
      <c r="G108" s="1686" t="s">
        <v>1434</v>
      </c>
      <c r="H108" s="2340">
        <f ca="1">IF(H107=H101,H102,ROUND(H107*10000/'数据-汇总表'!E3,0))</f>
        <v>35875</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64"/>
      <c r="G109" s="1686" t="s">
        <v>1432</v>
      </c>
      <c r="H109" s="2383" t="str">
        <f>IF(E109="——","——",H101-H105-H106)</f>
        <v>——</v>
      </c>
      <c r="I109" s="121"/>
    </row>
    <row r="110" spans="1:35" ht="18.75" customHeight="1">
      <c r="A110" s="121"/>
      <c r="B110" s="121"/>
      <c r="C110" s="121"/>
      <c r="D110" s="121"/>
      <c r="E110" s="3296"/>
      <c r="F110" s="3264"/>
      <c r="G110" s="1686" t="s">
        <v>1434</v>
      </c>
      <c r="H110" s="2340" t="str">
        <f>IF(H109="——","——",ROUND(H109*10000/'数据-汇总表'!E3,0))</f>
        <v>——</v>
      </c>
      <c r="I110" s="121"/>
    </row>
    <row r="111" spans="1:35" ht="18.75" customHeight="1">
      <c r="A111" s="121"/>
      <c r="B111" s="121"/>
      <c r="C111" s="121"/>
      <c r="D111" s="121"/>
      <c r="E111" s="3297" t="str">
        <f>IF(项目基本情况!E9="抵押净值",IF(OR(项目基本情况!E8="已注销",项目基本情况!E8="房地产抵押价值"),"4.抵押净值","5.抵押净值"),"——")</f>
        <v>——</v>
      </c>
      <c r="F111" s="3283"/>
      <c r="G111" s="1686" t="s">
        <v>1432</v>
      </c>
      <c r="H111" s="2380" t="str">
        <f>IF(E111="——","——",N59)</f>
        <v>——</v>
      </c>
      <c r="I111" s="121"/>
    </row>
    <row r="112" spans="1:35" ht="18.75" customHeight="1" thickBot="1">
      <c r="A112" s="121"/>
      <c r="B112" s="121"/>
      <c r="C112" s="121"/>
      <c r="D112" s="121"/>
      <c r="E112" s="3298"/>
      <c r="F112" s="3299"/>
      <c r="G112" s="1689" t="s">
        <v>1434</v>
      </c>
      <c r="H112" s="2384"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0"/>
      <c r="F114" s="1670"/>
      <c r="G114" s="1670"/>
      <c r="H114" s="1670"/>
      <c r="I114" s="646"/>
    </row>
    <row r="115" spans="1:27" ht="18.75" customHeight="1">
      <c r="A115" s="3314" t="s">
        <v>1442</v>
      </c>
      <c r="B115" s="3315"/>
      <c r="C115" s="3315"/>
      <c r="D115" s="3315"/>
      <c r="E115" s="3315"/>
      <c r="F115" s="3315"/>
      <c r="G115" s="3315"/>
      <c r="H115" s="3315"/>
      <c r="I115" s="3316"/>
    </row>
    <row r="116" spans="1:27" ht="27" customHeight="1">
      <c r="A116" s="3271" t="s">
        <v>1443</v>
      </c>
      <c r="B116" s="3275" t="s">
        <v>1444</v>
      </c>
      <c r="C116" s="3275" t="s">
        <v>1445</v>
      </c>
      <c r="D116" s="3281" t="s">
        <v>1446</v>
      </c>
      <c r="E116" s="3282"/>
      <c r="F116" s="3313" t="s">
        <v>1447</v>
      </c>
      <c r="G116" s="3313"/>
      <c r="H116" s="3271" t="s">
        <v>1448</v>
      </c>
      <c r="I116" s="3271"/>
    </row>
    <row r="117" spans="1:27" ht="18.75" customHeight="1">
      <c r="A117" s="3271"/>
      <c r="B117" s="3276"/>
      <c r="C117" s="3276"/>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14139.199999999997</v>
      </c>
      <c r="C118" s="2149">
        <f>M19</f>
        <v>9256.19</v>
      </c>
      <c r="D118" s="2149">
        <f ca="1">ROUND(IF(D32="总价",C34,E118*B118/10000),0)</f>
        <v>46007</v>
      </c>
      <c r="E118" s="2149">
        <f ca="1">ROUND(IF(C33="自定义",IF(D32="楼面单价",C34,D118*10000/B118),I118-G118),0)</f>
        <v>32539</v>
      </c>
      <c r="F118" s="2149">
        <f ca="1">ROUND(IF(D32="总价",C35,G118*B118/10000),0)</f>
        <v>4717</v>
      </c>
      <c r="G118" s="2149">
        <f ca="1">ROUND(IF(D32="楼面单价",C35,F118*10000/B118),0)</f>
        <v>3336</v>
      </c>
      <c r="H118" s="2149">
        <f ca="1">ROUND(IF(D32="总价",C32,I118*B118/10000),0)</f>
        <v>50724</v>
      </c>
      <c r="I118" s="2149">
        <f ca="1">ROUND(IF(D32="楼面单价",C32,H118*10000/B118),0)</f>
        <v>35875</v>
      </c>
    </row>
    <row r="119" spans="1:27" ht="18.75" customHeight="1">
      <c r="A119" s="3271" t="s">
        <v>1452</v>
      </c>
      <c r="B119" s="3271"/>
      <c r="C119" s="3271"/>
      <c r="D119" s="3277" t="str">
        <f ca="1">NUMBERSTRING(INT(D118*10000),2)&amp;"元整"</f>
        <v>肆亿陆仟零柒万元整</v>
      </c>
      <c r="E119" s="3278"/>
      <c r="F119" s="3277" t="str">
        <f ca="1">NUMBERSTRING(INT(F118*10000),2)&amp;"元整"</f>
        <v>肆仟柒佰壹拾柒万元整</v>
      </c>
      <c r="G119" s="3278"/>
      <c r="H119" s="3277" t="str">
        <f ca="1">NUMBERSTRING(INT(H118*10000),2)&amp;"元整"</f>
        <v>伍亿零柒佰贰拾肆万元整</v>
      </c>
      <c r="I119" s="3278"/>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7" t="s">
        <v>1452</v>
      </c>
      <c r="B121" s="3279"/>
      <c r="C121" s="3278"/>
      <c r="D121" s="3277" t="str">
        <f>IF(D120=0,"零元整",NUMBERSTRING(INT(D120*10000),2)&amp;"元整")</f>
        <v>零元整</v>
      </c>
      <c r="E121" s="3279"/>
      <c r="F121" s="3279"/>
      <c r="G121" s="3279"/>
      <c r="H121" s="3279"/>
      <c r="I121" s="3278"/>
      <c r="AA121" s="684"/>
    </row>
    <row r="122" spans="1:27" ht="18.75" customHeight="1">
      <c r="A122" s="3283" t="str">
        <f>IF(项目基本情况!B9="房地产市场价值","",MID(E107,3,LEN(E107)-2))</f>
        <v>房地产抵押价值</v>
      </c>
      <c r="B122" s="3283"/>
      <c r="C122" s="3283"/>
      <c r="D122" s="3272">
        <f ca="1">H107</f>
        <v>50724</v>
      </c>
      <c r="E122" s="3273"/>
      <c r="F122" s="3273"/>
      <c r="G122" s="3273"/>
      <c r="H122" s="3273"/>
      <c r="I122" s="3274"/>
      <c r="AA122" s="684"/>
    </row>
    <row r="123" spans="1:27" ht="18.75" customHeight="1">
      <c r="A123" s="3271" t="s">
        <v>1452</v>
      </c>
      <c r="B123" s="3271"/>
      <c r="C123" s="3271"/>
      <c r="D123" s="3277" t="str">
        <f ca="1">NUMBERSTRING(INT(D122*10000),2)&amp;"元整"</f>
        <v>伍亿零柒佰贰拾肆万元整</v>
      </c>
      <c r="E123" s="3279"/>
      <c r="F123" s="3279"/>
      <c r="G123" s="3279"/>
      <c r="H123" s="3279"/>
      <c r="I123" s="3278"/>
      <c r="AA123" s="684"/>
    </row>
    <row r="124" spans="1:27" ht="18.75" customHeight="1">
      <c r="A124" s="3283" t="str">
        <f>IF(项目基本情况!B9="房地产市场价值","",MID(E109,3,LEN(E109)-2))</f>
        <v/>
      </c>
      <c r="B124" s="3283"/>
      <c r="C124" s="3283"/>
      <c r="D124" s="3272" t="str">
        <f>H109</f>
        <v>——</v>
      </c>
      <c r="E124" s="3273"/>
      <c r="F124" s="3273"/>
      <c r="G124" s="3273"/>
      <c r="H124" s="3273"/>
      <c r="I124" s="3274"/>
      <c r="AA124" s="684"/>
    </row>
    <row r="125" spans="1:27" ht="18.75" customHeight="1">
      <c r="A125" s="3271" t="s">
        <v>1452</v>
      </c>
      <c r="B125" s="3271"/>
      <c r="C125" s="3271"/>
      <c r="D125" s="3277" t="e">
        <f>NUMBERSTRING(INT(D124*10000),2)&amp;"元整"</f>
        <v>#VALUE!</v>
      </c>
      <c r="E125" s="3279"/>
      <c r="F125" s="3279"/>
      <c r="G125" s="3279"/>
      <c r="H125" s="3279"/>
      <c r="I125" s="3278"/>
      <c r="AA125" s="684"/>
    </row>
    <row r="126" spans="1:27" ht="18.75" customHeight="1">
      <c r="A126" s="3283" t="str">
        <f>IF(项目基本情况!B9="房地产市场价值","",MID(E111,3,LEN(E111)-2))</f>
        <v/>
      </c>
      <c r="B126" s="3283"/>
      <c r="C126" s="3283"/>
      <c r="D126" s="3272" t="str">
        <f>H111</f>
        <v>——</v>
      </c>
      <c r="E126" s="3273"/>
      <c r="F126" s="3273"/>
      <c r="G126" s="3273"/>
      <c r="H126" s="3273"/>
      <c r="I126" s="3274"/>
      <c r="AA126" s="684"/>
    </row>
    <row r="127" spans="1:27" ht="18.75" customHeight="1">
      <c r="A127" s="3271" t="s">
        <v>1452</v>
      </c>
      <c r="B127" s="3271"/>
      <c r="C127" s="3271"/>
      <c r="D127" s="3277" t="e">
        <f>NUMBERSTRING(INT(D126*10000),2)&amp;"元整"</f>
        <v>#VALUE!</v>
      </c>
      <c r="E127" s="3279"/>
      <c r="F127" s="3279"/>
      <c r="G127" s="3279"/>
      <c r="H127" s="3279"/>
      <c r="I127" s="3278"/>
      <c r="AA127" s="684"/>
    </row>
    <row r="128" spans="1:27" ht="21.75" customHeight="1">
      <c r="A128" s="3280" t="s">
        <v>1453</v>
      </c>
      <c r="B128" s="3280"/>
      <c r="C128" s="3280"/>
      <c r="D128" s="3280"/>
      <c r="E128" s="3280"/>
      <c r="F128" s="3280"/>
      <c r="G128" s="3280"/>
      <c r="H128" s="3280"/>
      <c r="I128" s="328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北京市房地产抵押价值预评估</v>
      </c>
      <c r="C37" s="3168"/>
      <c r="D37" s="3168"/>
      <c r="E37" s="3168"/>
      <c r="F37" s="3168"/>
      <c r="G37" s="3168"/>
      <c r="H37" s="3168"/>
      <c r="I37" s="316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L32" sqref="L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67788</v>
      </c>
      <c r="C2" s="191" t="s">
        <v>1463</v>
      </c>
      <c r="D2" s="1710" t="s">
        <v>3448</v>
      </c>
      <c r="E2" s="1089">
        <f ca="1">SUMIF(INDIRECT("'"&amp;G2&amp;"'"&amp;"!A:A"),"承租人权益价值",INDIRECT("'"&amp;G2&amp;"'"&amp;"!c:c"))</f>
        <v>13660</v>
      </c>
      <c r="F2" s="1711" t="s">
        <v>1463</v>
      </c>
      <c r="G2" s="1712" t="s">
        <v>3421</v>
      </c>
    </row>
    <row r="3" spans="1:9" s="192" customFormat="1" ht="18" customHeight="1" thickBot="1">
      <c r="A3" s="195" t="s">
        <v>1464</v>
      </c>
      <c r="B3" s="196">
        <f ca="1">ROUND(B2*10000/(IF(B1="",'数据-汇总表'!E3,INDIRECT("'数据-取费表'!k"&amp;$G$1))),0)</f>
        <v>47943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54223</v>
      </c>
      <c r="D5" s="203" t="s">
        <v>1469</v>
      </c>
      <c r="E5" s="204" t="s">
        <v>1470</v>
      </c>
      <c r="F5" s="204" t="s">
        <v>1471</v>
      </c>
      <c r="G5" s="205"/>
    </row>
    <row r="6" spans="1:9" s="206" customFormat="1" ht="13.5" customHeight="1">
      <c r="A6" s="732" t="s">
        <v>1472</v>
      </c>
      <c r="B6" s="207" t="s">
        <v>1473</v>
      </c>
      <c r="C6" s="208">
        <f>基准地价修正!B2</f>
        <v>52344</v>
      </c>
      <c r="D6" s="209"/>
      <c r="E6" s="210"/>
      <c r="F6" s="210"/>
      <c r="G6" s="211"/>
    </row>
    <row r="7" spans="1:9" s="206" customFormat="1" ht="13.5" customHeight="1">
      <c r="A7" s="732" t="s">
        <v>1474</v>
      </c>
      <c r="B7" s="207" t="s">
        <v>1475</v>
      </c>
      <c r="C7" s="212">
        <f>ROUND(C6*F7,0)</f>
        <v>1596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283</v>
      </c>
      <c r="D8" s="214"/>
      <c r="E8" s="212"/>
      <c r="F8" s="213"/>
      <c r="G8" s="1713" t="s">
        <v>3437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3438</v>
      </c>
      <c r="H9" s="1070"/>
      <c r="I9" s="1715" t="s">
        <v>1479</v>
      </c>
    </row>
    <row r="10" spans="1:9" s="206" customFormat="1" ht="13.5" customHeight="1">
      <c r="A10" s="733" t="s">
        <v>356</v>
      </c>
      <c r="B10" s="216" t="s">
        <v>1480</v>
      </c>
      <c r="C10" s="217">
        <f ca="1">ROUND(D10*E10/10000,0)</f>
        <v>283</v>
      </c>
      <c r="D10" s="795">
        <f ca="1">IF(B1="",'数据-汇总表'!E6,IF(INDIRECT("'数据-取费表'!c"&amp;$G$1)="住宅",INDIRECT("'数据-取费表'!s"&amp;$G$1),INDIRECT("'数据-取费表'!k"&amp;$G$1)+INDIRECT("'数据-取费表'!s"&amp;$G$1)))</f>
        <v>14139.199999999997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14139.199999999997</v>
      </c>
      <c r="E19" s="203">
        <f>'数据-取费表'!B31</f>
        <v>200</v>
      </c>
      <c r="F19" s="223"/>
      <c r="G19" s="1713" t="s">
        <v>3439</v>
      </c>
    </row>
    <row r="20" spans="1:7" s="206" customFormat="1" ht="13.5" customHeight="1">
      <c r="A20" s="247" t="s">
        <v>1493</v>
      </c>
      <c r="B20" s="202" t="s">
        <v>1494</v>
      </c>
      <c r="C20" s="224">
        <f ca="1">ROUND((C5+C19)*F20,0)</f>
        <v>1084</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3730</v>
      </c>
      <c r="D22" s="227">
        <f ca="1">C26</f>
        <v>1E-3</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3694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36</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8296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8296</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73895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6335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5656</v>
      </c>
      <c r="D34" s="209"/>
      <c r="E34" s="212"/>
      <c r="F34" s="249">
        <f ca="1">IF('数据-取费表'!B24=0,1,IF(B1="",'数据-取费表'!N16,INDIRECT("'数据-取费表'!n"&amp;$G$1)))</f>
        <v>1</v>
      </c>
      <c r="G34" s="211" t="s">
        <v>1526</v>
      </c>
    </row>
    <row r="35" spans="1:7" ht="13.5" customHeight="1">
      <c r="A35" s="734" t="s">
        <v>351</v>
      </c>
      <c r="B35" s="207" t="s">
        <v>1527</v>
      </c>
      <c r="C35" s="212">
        <f ca="1">ROUND(C34*F35,0)</f>
        <v>283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283</v>
      </c>
      <c r="D37" s="209">
        <f ca="1">D19</f>
        <v>14139.199999999997</v>
      </c>
      <c r="E37" s="241">
        <f>'数据-取费表'!B35</f>
        <v>200</v>
      </c>
      <c r="F37" s="251"/>
      <c r="G37" s="253" t="s">
        <v>1532</v>
      </c>
    </row>
    <row r="38" spans="1:7" ht="13.5" customHeight="1">
      <c r="A38" s="734" t="s">
        <v>354</v>
      </c>
      <c r="B38" s="207" t="s">
        <v>1533</v>
      </c>
      <c r="C38" s="212">
        <f ca="1">ROUND(C34*F38,0)</f>
        <v>113</v>
      </c>
      <c r="D38" s="212"/>
      <c r="E38" s="212"/>
      <c r="F38" s="251">
        <f>'数据-取费表'!B36</f>
        <v>0.02</v>
      </c>
      <c r="G38" s="211" t="s">
        <v>1528</v>
      </c>
    </row>
    <row r="39" spans="1:7" s="206" customFormat="1" ht="13.5" customHeight="1">
      <c r="A39" s="247" t="s">
        <v>1534</v>
      </c>
      <c r="B39" s="202" t="s">
        <v>1535</v>
      </c>
      <c r="C39" s="224">
        <f ca="1">ROUND(C33*F20,0)</f>
        <v>127</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216</v>
      </c>
      <c r="D41" s="227">
        <f ca="1">C44</f>
        <v>1E-3</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212</v>
      </c>
      <c r="D42" s="230"/>
      <c r="E42" s="230"/>
      <c r="F42" s="231"/>
      <c r="G42" s="3350" t="s">
        <v>1544</v>
      </c>
    </row>
    <row r="43" spans="1:7" ht="13.5" customHeight="1">
      <c r="A43" s="734" t="s">
        <v>347</v>
      </c>
      <c r="B43" s="207" t="s">
        <v>1545</v>
      </c>
      <c r="C43" s="230">
        <f ca="1">ROUND(IF('数据-取费表'!B22&lt;=1,C39*F22*'数据-取费表'!B21/2,C39*(POWER((1+F22),'数据-取费表'!B21/2)-1)),0)</f>
        <v>4</v>
      </c>
      <c r="D43" s="230"/>
      <c r="E43" s="230"/>
      <c r="F43" s="231"/>
      <c r="G43" s="3351"/>
    </row>
    <row r="44" spans="1:7" ht="13.5" customHeight="1">
      <c r="A44" s="734" t="s">
        <v>348</v>
      </c>
      <c r="B44" s="207" t="s">
        <v>1546</v>
      </c>
      <c r="C44" s="230">
        <f ca="1">ROUND(IF('数据-取费表'!B22&lt;=1,C40*F22*'数据-取费表'!B21/2,C40*(POWER((1+F22),'数据-取费表'!B21/2)-1)),4)</f>
        <v>1E-3</v>
      </c>
      <c r="D44" s="230"/>
      <c r="E44" s="230"/>
      <c r="F44" s="231"/>
      <c r="G44" s="3352"/>
    </row>
    <row r="45" spans="1:7" s="206" customFormat="1" ht="13.5" customHeight="1">
      <c r="A45" s="247" t="s">
        <v>1547</v>
      </c>
      <c r="B45" s="236" t="s">
        <v>1513</v>
      </c>
      <c r="C45" s="237">
        <f ca="1">C46</f>
        <v>969</v>
      </c>
      <c r="D45" s="227">
        <f ca="1">C47</f>
        <v>4.4999999999999997E-3</v>
      </c>
      <c r="E45" s="228" t="s">
        <v>1539</v>
      </c>
      <c r="F45" s="238">
        <f ca="1">F27</f>
        <v>0.15</v>
      </c>
      <c r="G45" s="239" t="s">
        <v>1548</v>
      </c>
    </row>
    <row r="46" spans="1:7" s="206" customFormat="1" ht="13.5" customHeight="1">
      <c r="A46" s="734" t="s">
        <v>346</v>
      </c>
      <c r="B46" s="240" t="s">
        <v>1549</v>
      </c>
      <c r="C46" s="241">
        <f ca="1">ROUND((C33+C39)*F27,0)</f>
        <v>969</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8392</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7553</v>
      </c>
      <c r="D51" s="224"/>
      <c r="E51" s="224"/>
      <c r="F51" s="256"/>
      <c r="G51" s="226" t="s">
        <v>1560</v>
      </c>
    </row>
    <row r="52" spans="1:7" s="200" customFormat="1" ht="16.5" thickBot="1">
      <c r="A52" s="257" t="s">
        <v>1561</v>
      </c>
      <c r="B52" s="258"/>
      <c r="C52" s="259">
        <f ca="1">C31+C51</f>
        <v>81448</v>
      </c>
      <c r="D52" s="258"/>
      <c r="E52" s="258"/>
      <c r="F52" s="258"/>
      <c r="G52" s="260"/>
    </row>
    <row r="55" spans="1:7" ht="15">
      <c r="B55" s="262" t="s">
        <v>1562</v>
      </c>
      <c r="C55" s="263"/>
    </row>
    <row r="56" spans="1:7">
      <c r="B56" s="265" t="s">
        <v>802</v>
      </c>
      <c r="C56" s="267">
        <f ca="1">1-C57</f>
        <v>0.90700000000000003</v>
      </c>
    </row>
    <row r="57" spans="1:7">
      <c r="B57" s="265" t="s">
        <v>803</v>
      </c>
      <c r="C57" s="266">
        <f ca="1">ROUND(C51/C52,3)</f>
        <v>9.2999999999999999E-2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8323.4241000000002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5887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2827840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2827840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2827840</v>
      </c>
      <c r="D10" s="795">
        <f ca="1">IF(B1="",'数据-汇总表'!E6,IF(INDIRECT("'数据-取费表'!c"&amp;$G$1)="住宅",INDIRECT("'数据-取费表'!s"&amp;$G$1),INDIRECT("'数据-取费表'!k"&amp;$G$1)+INDIRECT("'数据-取费表'!s"&amp;$G$1)))</f>
        <v>14139.199999999997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2827840</v>
      </c>
      <c r="D19" s="204">
        <f ca="1">D9+D10</f>
        <v>14139.199999999997</v>
      </c>
      <c r="E19" s="203">
        <f>'数据-取费表'!B31</f>
        <v>200</v>
      </c>
      <c r="F19" s="223"/>
      <c r="G19" s="1713"/>
    </row>
    <row r="20" spans="1:7" s="206" customFormat="1" ht="13.5" customHeight="1">
      <c r="A20" s="247" t="s">
        <v>1574</v>
      </c>
      <c r="B20" s="202" t="s">
        <v>1575</v>
      </c>
      <c r="C20" s="224">
        <f ca="1">ROUND((C5+C19)*F20,0)</f>
        <v>113114</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389067</v>
      </c>
      <c r="D22" s="227">
        <f ca="1">C26</f>
        <v>1E-3</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192639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192639</v>
      </c>
      <c r="D24" s="230"/>
      <c r="E24" s="230"/>
      <c r="F24" s="231"/>
      <c r="G24" s="232" t="s">
        <v>1586</v>
      </c>
    </row>
    <row r="25" spans="1:7" s="206" customFormat="1" ht="24">
      <c r="A25" s="734" t="s">
        <v>1476</v>
      </c>
      <c r="B25" s="207" t="s">
        <v>1587</v>
      </c>
      <c r="C25" s="230">
        <f ca="1">ROUND(IF('数据-取费表'!B22&lt;=1,C20*F22*'数据-取费表'!B22/2,C20*(POWER((1+F22),'数据-取费表'!B22/2)-1)),0)</f>
        <v>3789</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865319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865319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7707616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63343616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56556800</v>
      </c>
      <c r="D34" s="209"/>
      <c r="E34" s="212"/>
      <c r="F34" s="249"/>
      <c r="G34" s="211"/>
    </row>
    <row r="35" spans="1:7" ht="13.5" customHeight="1">
      <c r="A35" s="734" t="s">
        <v>351</v>
      </c>
      <c r="B35" s="207" t="s">
        <v>1527</v>
      </c>
      <c r="C35" s="212">
        <f ca="1">ROUND(C34*F35,0)</f>
        <v>2827840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2827840</v>
      </c>
      <c r="D37" s="209">
        <f ca="1">D19</f>
        <v>14139.199999999997</v>
      </c>
      <c r="E37" s="241">
        <f>'数据-取费表'!B35</f>
        <v>200</v>
      </c>
      <c r="F37" s="251"/>
      <c r="G37" s="253"/>
    </row>
    <row r="38" spans="1:7" ht="13.5" customHeight="1">
      <c r="A38" s="734" t="s">
        <v>354</v>
      </c>
      <c r="B38" s="207" t="s">
        <v>1533</v>
      </c>
      <c r="C38" s="212">
        <f ca="1">ROUND(C34*F38,0)</f>
        <v>1131136</v>
      </c>
      <c r="D38" s="212"/>
      <c r="E38" s="212"/>
      <c r="F38" s="251">
        <f>'数据-取费表'!B36</f>
        <v>0.02</v>
      </c>
      <c r="G38" s="211" t="s">
        <v>1528</v>
      </c>
    </row>
    <row r="39" spans="1:7" s="206" customFormat="1" ht="13.5" customHeight="1">
      <c r="A39" s="247" t="s">
        <v>1534</v>
      </c>
      <c r="B39" s="202" t="s">
        <v>1535</v>
      </c>
      <c r="C39" s="224">
        <f ca="1">ROUND(C33*F20,0)</f>
        <v>1266872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2164451</v>
      </c>
      <c r="D41" s="227">
        <f ca="1">C44</f>
        <v>1E-3</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2122011</v>
      </c>
      <c r="D42" s="230"/>
      <c r="E42" s="230"/>
      <c r="F42" s="231"/>
      <c r="G42" s="3350" t="s">
        <v>1591</v>
      </c>
    </row>
    <row r="43" spans="1:7" ht="13.5" customHeight="1">
      <c r="A43" s="734" t="s">
        <v>347</v>
      </c>
      <c r="B43" s="207" t="s">
        <v>1545</v>
      </c>
      <c r="C43" s="230">
        <f ca="1">ROUND(IF('数据-取费表'!B22&lt;=1,C39*F22*'数据-取费表'!B20/2,C39*(POWER((1+F22),'数据-取费表'!B20/2)-1)),0)</f>
        <v>42440</v>
      </c>
      <c r="D43" s="230"/>
      <c r="E43" s="230"/>
      <c r="F43" s="231"/>
      <c r="G43" s="3351"/>
    </row>
    <row r="44" spans="1:7" ht="13.5" customHeight="1">
      <c r="A44" s="734" t="s">
        <v>348</v>
      </c>
      <c r="B44" s="207" t="s">
        <v>1546</v>
      </c>
      <c r="C44" s="230">
        <f ca="1">ROUND(IF('数据-取费表'!B22&lt;=1,C40*F22*'数据-取费表'!B20/2,C40*(POWER((1+F22),'数据-取费表'!B20/2)-1)),4)</f>
        <v>1E-3</v>
      </c>
      <c r="D44" s="230"/>
      <c r="E44" s="230"/>
      <c r="F44" s="231"/>
      <c r="G44" s="3352"/>
    </row>
    <row r="45" spans="1:7" s="206" customFormat="1" ht="13.5" customHeight="1">
      <c r="A45" s="247" t="s">
        <v>1547</v>
      </c>
      <c r="B45" s="236" t="s">
        <v>1513</v>
      </c>
      <c r="C45" s="237">
        <f ca="1">C46</f>
        <v>9691573</v>
      </c>
      <c r="D45" s="227">
        <f ca="1">C47</f>
        <v>4.4999999999999997E-3</v>
      </c>
      <c r="E45" s="228" t="s">
        <v>1539</v>
      </c>
      <c r="F45" s="238">
        <f ca="1">F27</f>
        <v>0.15</v>
      </c>
      <c r="G45" s="239" t="s">
        <v>1548</v>
      </c>
    </row>
    <row r="46" spans="1:7" s="206" customFormat="1" ht="13.5" customHeight="1">
      <c r="A46" s="734" t="s">
        <v>346</v>
      </c>
      <c r="B46" s="240" t="s">
        <v>1549</v>
      </c>
      <c r="C46" s="241">
        <f ca="1">ROUND((C33+C39)*F27,0)</f>
        <v>9691573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83918472</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75526625</v>
      </c>
      <c r="D51" s="224"/>
      <c r="E51" s="224"/>
      <c r="F51" s="256"/>
      <c r="G51" s="226" t="s">
        <v>1560</v>
      </c>
    </row>
    <row r="52" spans="1:7" s="200" customFormat="1" ht="16.5" thickBot="1">
      <c r="A52" s="257" t="s">
        <v>1561</v>
      </c>
      <c r="B52" s="258"/>
      <c r="C52" s="259">
        <f ca="1">C31+C51</f>
        <v>83234241</v>
      </c>
      <c r="D52" s="258"/>
      <c r="E52" s="258"/>
      <c r="F52" s="258"/>
      <c r="G52" s="260"/>
    </row>
    <row r="55" spans="1:7" ht="15">
      <c r="B55" s="262" t="s">
        <v>1562</v>
      </c>
      <c r="C55" s="263"/>
    </row>
    <row r="56" spans="1:7">
      <c r="B56" s="265" t="s">
        <v>802</v>
      </c>
      <c r="C56" s="267">
        <f ca="1">1-C57</f>
        <v>9.2999999999999972E-2</v>
      </c>
    </row>
    <row r="57" spans="1:7">
      <c r="B57" s="265" t="s">
        <v>803</v>
      </c>
      <c r="C57" s="266">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14139.199999999997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14139.199999999997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283</v>
      </c>
      <c r="D20" s="796">
        <f ca="1">IF(C1="",'数据-汇总表'!E6,IF(INDIRECT("'数据-取费表'!c"&amp;$K$1)="住宅",INDIRECT("'数据-取费表'!s"&amp;$K$1),INDIRECT("'数据-取费表'!k"&amp;$K$1)+INDIRECT("'数据-取费表'!s"&amp;$K$1)))</f>
        <v>14139.199999999997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19" zoomScale="90" zoomScaleNormal="80" zoomScaleSheetLayoutView="90" workbookViewId="0">
      <selection activeCell="M50" sqref="M5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14139.199999999997</v>
      </c>
      <c r="E1" s="1841"/>
      <c r="F1" s="1841"/>
      <c r="G1" s="1841"/>
      <c r="H1" s="1841"/>
      <c r="I1" s="1841"/>
      <c r="J1" s="1841"/>
      <c r="K1" s="1056"/>
      <c r="L1" s="1842" t="s">
        <v>1928</v>
      </c>
      <c r="M1" s="810">
        <f>SUMPRODUCT((区片价!B5:B9=I2)*(区片价!C3:G3=E2)*(区片价!C5:G9))</f>
        <v>34470</v>
      </c>
      <c r="N1" s="813">
        <f>SUMPRODUCT((因素修正幅度!B5:B9=I2)*(因素修正幅度!C3:G3=E2)*(因素修正幅度!C5:G9))</f>
        <v>8.6999999999999994E-2</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52344</v>
      </c>
      <c r="C2" s="1845" t="s">
        <v>1935</v>
      </c>
      <c r="D2" s="162" t="s">
        <v>1936</v>
      </c>
      <c r="E2" s="3120"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1.5206</v>
      </c>
      <c r="T2" s="3063">
        <f t="shared" ref="T2:T16" si="0">ROUND($C$5*$C$22*$C$23*$C$24*S2*$C$28,0)</f>
        <v>52759</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37020</v>
      </c>
      <c r="C3" s="1845" t="s">
        <v>1941</v>
      </c>
      <c r="D3" s="162" t="s">
        <v>1942</v>
      </c>
      <c r="E3" s="3118" t="s">
        <v>3429</v>
      </c>
      <c r="F3" s="1847" t="s">
        <v>3430</v>
      </c>
      <c r="G3" s="708">
        <f>IF(F3="宗地容积率",'数据-汇总表'!I4,IF(F3="估价对象容积率",'数据-汇总表'!I6,'数据-汇总表'!I7))</f>
        <v>1.31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41885</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60"/>
      <c r="B4" s="3361"/>
      <c r="C4" s="3361"/>
      <c r="D4" s="3362"/>
      <c r="E4" s="3362"/>
      <c r="F4" s="3362"/>
      <c r="G4" s="3362"/>
      <c r="H4" s="3362"/>
      <c r="I4" s="3362"/>
      <c r="J4" s="336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36192</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34470</v>
      </c>
      <c r="D5" s="1252">
        <f>ROUND(C6*C17+C20,0)</f>
        <v>34470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32750</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34470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31213</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一级</v>
      </c>
      <c r="Y7" s="1131" t="s">
        <v>1956</v>
      </c>
      <c r="Z7" s="1132">
        <f>G3</f>
        <v>1.31</v>
      </c>
      <c r="AA7" s="1133"/>
      <c r="AB7" s="1133"/>
      <c r="AC7" s="1134"/>
      <c r="AD7" s="1135"/>
      <c r="AE7" s="1135"/>
      <c r="AF7" s="1135"/>
      <c r="AG7" s="1135"/>
      <c r="AH7" s="1135"/>
      <c r="AI7" s="1135"/>
      <c r="AJ7" s="1136"/>
    </row>
    <row r="8" spans="1:36" ht="25.5">
      <c r="A8" s="3009"/>
      <c r="B8" s="162" t="s">
        <v>1957</v>
      </c>
      <c r="C8" s="1869" t="s">
        <v>3431</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57" t="s">
        <v>1960</v>
      </c>
      <c r="X8" s="33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59"/>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69"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0.93120000000000003</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64" t="s">
        <v>3247</v>
      </c>
      <c r="B20" s="159" t="s">
        <v>1994</v>
      </c>
      <c r="C20" s="3031">
        <f>ROUND(IF(F21="与级别开发程度一致",0,(G21-E21)/C21),0)</f>
        <v>0</v>
      </c>
      <c r="D20" s="3046" t="s">
        <v>1998</v>
      </c>
      <c r="E20" s="3047"/>
      <c r="F20" s="3370" t="s">
        <v>1995</v>
      </c>
      <c r="G20" s="3371"/>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65"/>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3432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2002</v>
      </c>
      <c r="E23" s="717">
        <v>44197</v>
      </c>
      <c r="F23" s="1895" t="s">
        <v>2003</v>
      </c>
      <c r="G23" s="718">
        <f>'数据-取费表'!B2</f>
        <v>45574</v>
      </c>
      <c r="H23" s="3048" t="s">
        <v>3249</v>
      </c>
      <c r="I23" s="3049" t="str">
        <f>IF(H23="季度增幅（自定义）",SUMIF(N25:N28,E2,O25:O28),"")</f>
        <v/>
      </c>
      <c r="J23" s="3141" t="s">
        <v>3248</v>
      </c>
      <c r="K23" s="1061"/>
      <c r="L23" s="1896" t="s">
        <v>2004</v>
      </c>
      <c r="M23" s="1241">
        <f>ROUND(SUMIF(地价!B2:G2,E2,地价!B16:G16),0)</f>
        <v>350</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0.96489999999999998</v>
      </c>
      <c r="D24" s="1901" t="s">
        <v>2007</v>
      </c>
      <c r="E24" s="1248">
        <f>存贷款利率!E27/100</f>
        <v>4.3499999999999997E-2</v>
      </c>
      <c r="F24" s="1901" t="s">
        <v>1999</v>
      </c>
      <c r="G24" s="724">
        <f>SUMIF(M30:Q30,E2,M33:Q33)</f>
        <v>5.5E-2</v>
      </c>
      <c r="H24" s="1901" t="s">
        <v>2008</v>
      </c>
      <c r="I24" s="725">
        <f>SUMIF('数据-取费表'!C6:C15,E2,'数据-取费表'!F6:F15)/COUNTIF('数据-取费表'!C6:C15,E2)</f>
        <v>42.73</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1.1943999999999999</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1.1943999999999999</v>
      </c>
      <c r="E26" s="708">
        <f>ROUNDDOWN(G3,1)</f>
        <v>1.3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1.196</v>
      </c>
      <c r="G26" s="708">
        <f>ROUNDUP(G3,1)</f>
        <v>1.4000000000000001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1.0349999999999999</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52344</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524</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41441</v>
      </c>
      <c r="D33" s="1939">
        <f>面积!E24</f>
        <v>12124.999999999998</v>
      </c>
      <c r="E33" s="727">
        <f>ROUND(C33*D33/10000,0)</f>
        <v>50247</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10360</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68"/>
      <c r="B37" s="1954" t="s">
        <v>2036</v>
      </c>
      <c r="C37" s="167">
        <f>ROUND(D5*C22*C23*C24*C28*F37,0)</f>
        <v>24287</v>
      </c>
      <c r="D37" s="1939"/>
      <c r="E37" s="163">
        <f>ROUND(C37*D37/10000,0)</f>
        <v>0</v>
      </c>
      <c r="F37" s="163">
        <f>SUMIF(修正!A57:A68,G2,修正!B57:B68)</f>
        <v>0.7</v>
      </c>
      <c r="G37" s="163">
        <f>ROUND(IF(E2="工业",C37*$M$42,C37*$M$41),0)</f>
        <v>6072</v>
      </c>
      <c r="H37" s="163">
        <f>D37</f>
        <v>0</v>
      </c>
      <c r="I37" s="163">
        <f>ROUND(G37*H37/10000,0)</f>
        <v>0</v>
      </c>
      <c r="J37" s="2754"/>
      <c r="K37" s="3061" t="s">
        <v>3259</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69"/>
      <c r="B38" s="1883" t="s">
        <v>2037</v>
      </c>
      <c r="C38" s="167">
        <f>ROUND(D5*C22*C23*C24*C28*F38,0)</f>
        <v>13878</v>
      </c>
      <c r="D38" s="1939"/>
      <c r="E38" s="163">
        <f t="shared" ref="E38:E42" si="4">ROUND(C38*D38/10000,0)</f>
        <v>0</v>
      </c>
      <c r="F38" s="163">
        <f>SUMIF(修正!A57:A68,G2,修正!C57:C68)</f>
        <v>0.4</v>
      </c>
      <c r="G38" s="163">
        <f>ROUND(IF(E2="工业",C38*$M$42,C38*$M$41),0)</f>
        <v>3470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69"/>
      <c r="B39" s="1883" t="s">
        <v>3252</v>
      </c>
      <c r="C39" s="167">
        <f>ROUND(D5*C22*C23*C24*C28*F39,0)</f>
        <v>10409</v>
      </c>
      <c r="D39" s="1939"/>
      <c r="E39" s="163">
        <f t="shared" si="4"/>
        <v>0</v>
      </c>
      <c r="F39" s="163">
        <f>SUMIF(修正!A57:A68,G2,修正!D57:D68)</f>
        <v>0.3</v>
      </c>
      <c r="G39" s="163">
        <f>ROUND(IF(E2="工业",C39*$M$42,C39*$M$41),0)</f>
        <v>2602</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10409</v>
      </c>
      <c r="D40" s="1939">
        <f>面积!F24</f>
        <v>2014.1999999999998</v>
      </c>
      <c r="E40" s="163">
        <f t="shared" si="4"/>
        <v>2097</v>
      </c>
      <c r="F40" s="167">
        <f>SUMIF(修正!A57:A68,G2,修正!E57:E68)</f>
        <v>0.3</v>
      </c>
      <c r="G40" s="163">
        <f>ROUND(IF(E2="工业",C40*$M$42,C40*$M$41),0)</f>
        <v>2602</v>
      </c>
      <c r="H40" s="163">
        <f t="shared" si="5"/>
        <v>2014.1999999999998</v>
      </c>
      <c r="I40" s="163">
        <f t="shared" si="6"/>
        <v>524</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0.3</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0.2</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1.0349999999999999</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t="s">
        <v>3433</v>
      </c>
      <c r="D61" s="1002">
        <f t="shared" ref="D61:D69" si="12">SUMIF($J$60:$N$60,C61,J61:N61)</f>
        <v>0</v>
      </c>
      <c r="E61" s="702">
        <f>ROUND(SUM(D61:D69),4)</f>
        <v>3.5000000000000003E-2</v>
      </c>
      <c r="F61" s="1674">
        <f>IF(E2="办公",SUMIF(L1:L12,G2,N1:N12),"——")</f>
        <v>8.6999999999999994E-2</v>
      </c>
      <c r="G61" s="1000">
        <f>H61</f>
        <v>1.0800000000000001E-2</v>
      </c>
      <c r="H61" s="1003">
        <f t="shared" ref="H61:H69" si="13">IFERROR(ROUNDDOWN($F$61*I61/2,4),"——")</f>
        <v>1.0800000000000001E-2</v>
      </c>
      <c r="I61" s="3068">
        <v>0.25</v>
      </c>
      <c r="J61" s="1001">
        <f t="shared" ref="J61:J69" si="14">K61+$G61</f>
        <v>2.1600000000000001E-2</v>
      </c>
      <c r="K61" s="1001">
        <f t="shared" ref="K61:K69" si="15">$L61+$G61</f>
        <v>1.0800000000000001E-2</v>
      </c>
      <c r="L61" s="1001">
        <v>0</v>
      </c>
      <c r="M61" s="1001">
        <f t="shared" ref="M61:N69" si="16">L61-$G61</f>
        <v>-1.0800000000000001E-2</v>
      </c>
      <c r="N61" s="1001">
        <f t="shared" si="16"/>
        <v>-2.1600000000000001E-2</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t="s">
        <v>3434</v>
      </c>
      <c r="D62" s="1002">
        <f t="shared" si="12"/>
        <v>1.1299999999999999E-2</v>
      </c>
      <c r="E62" s="703"/>
      <c r="F62" s="1674"/>
      <c r="G62" s="1000">
        <f t="shared" ref="G62:G69" si="17">H62</f>
        <v>1.1299999999999999E-2</v>
      </c>
      <c r="H62" s="1003">
        <f t="shared" si="13"/>
        <v>1.1299999999999999E-2</v>
      </c>
      <c r="I62" s="3068">
        <v>0.26</v>
      </c>
      <c r="J62" s="1001">
        <f t="shared" si="14"/>
        <v>2.2599999999999999E-2</v>
      </c>
      <c r="K62" s="1001">
        <f t="shared" si="15"/>
        <v>1.1299999999999999E-2</v>
      </c>
      <c r="L62" s="1001">
        <v>0</v>
      </c>
      <c r="M62" s="1001">
        <f t="shared" si="16"/>
        <v>-1.1299999999999999E-2</v>
      </c>
      <c r="N62" s="1001">
        <f t="shared" si="16"/>
        <v>-2.2599999999999999E-2</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t="s">
        <v>3434</v>
      </c>
      <c r="D63" s="1002">
        <f t="shared" si="12"/>
        <v>4.7000000000000002E-3</v>
      </c>
      <c r="E63" s="703"/>
      <c r="F63" s="1674"/>
      <c r="G63" s="1000">
        <f t="shared" si="17"/>
        <v>4.7000000000000002E-3</v>
      </c>
      <c r="H63" s="1003">
        <f t="shared" si="13"/>
        <v>4.7000000000000002E-3</v>
      </c>
      <c r="I63" s="3068">
        <v>0.11</v>
      </c>
      <c r="J63" s="1001">
        <f t="shared" si="14"/>
        <v>9.4000000000000004E-3</v>
      </c>
      <c r="K63" s="1001">
        <f t="shared" si="15"/>
        <v>4.7000000000000002E-3</v>
      </c>
      <c r="L63" s="1001">
        <v>0</v>
      </c>
      <c r="M63" s="1001">
        <f t="shared" si="16"/>
        <v>-4.7000000000000002E-3</v>
      </c>
      <c r="N63" s="1001">
        <f t="shared" si="16"/>
        <v>-9.4000000000000004E-3</v>
      </c>
      <c r="AA63" s="1057"/>
      <c r="AB63" s="1057"/>
      <c r="AC63" s="1057"/>
      <c r="AD63" s="1057"/>
      <c r="AE63" s="1057"/>
      <c r="AF63" s="1057"/>
      <c r="AG63" s="1057"/>
      <c r="AH63" s="1057"/>
      <c r="AI63" s="1057"/>
      <c r="AJ63" s="1057"/>
      <c r="AK63" s="1057"/>
    </row>
    <row r="64" spans="1:37" s="1056" customFormat="1" ht="36.75">
      <c r="A64" s="1969" t="s">
        <v>2054</v>
      </c>
      <c r="B64" s="1973" t="s">
        <v>2055</v>
      </c>
      <c r="C64" s="1886" t="s">
        <v>3434</v>
      </c>
      <c r="D64" s="1002">
        <f t="shared" si="12"/>
        <v>2.0999999999999999E-3</v>
      </c>
      <c r="E64" s="703"/>
      <c r="F64" s="1674"/>
      <c r="G64" s="1000">
        <f t="shared" si="17"/>
        <v>2.0999999999999999E-3</v>
      </c>
      <c r="H64" s="1003">
        <f t="shared" si="13"/>
        <v>2.0999999999999999E-3</v>
      </c>
      <c r="I64" s="3068">
        <v>0.05</v>
      </c>
      <c r="J64" s="1001">
        <f t="shared" si="14"/>
        <v>4.1999999999999997E-3</v>
      </c>
      <c r="K64" s="1001">
        <f t="shared" si="15"/>
        <v>2.0999999999999999E-3</v>
      </c>
      <c r="L64" s="1001">
        <v>0</v>
      </c>
      <c r="M64" s="1001">
        <f t="shared" si="16"/>
        <v>-2.0999999999999999E-3</v>
      </c>
      <c r="N64" s="1001">
        <f t="shared" si="16"/>
        <v>-4.1999999999999997E-3</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t="s">
        <v>3435</v>
      </c>
      <c r="D65" s="1002">
        <f t="shared" si="12"/>
        <v>-2.0999999999999999E-3</v>
      </c>
      <c r="E65" s="703"/>
      <c r="F65" s="1674"/>
      <c r="G65" s="1000">
        <f t="shared" si="17"/>
        <v>2.0999999999999999E-3</v>
      </c>
      <c r="H65" s="1003">
        <f t="shared" si="13"/>
        <v>2.0999999999999999E-3</v>
      </c>
      <c r="I65" s="3068">
        <v>0.05</v>
      </c>
      <c r="J65" s="1001">
        <f t="shared" si="14"/>
        <v>4.1999999999999997E-3</v>
      </c>
      <c r="K65" s="1001">
        <f t="shared" si="15"/>
        <v>2.0999999999999999E-3</v>
      </c>
      <c r="L65" s="1001">
        <v>0</v>
      </c>
      <c r="M65" s="1001">
        <f t="shared" si="16"/>
        <v>-2.0999999999999999E-3</v>
      </c>
      <c r="N65" s="1001">
        <f t="shared" si="16"/>
        <v>-4.1999999999999997E-3</v>
      </c>
      <c r="AA65" s="1057"/>
      <c r="AB65" s="1057"/>
      <c r="AC65" s="1057"/>
      <c r="AD65" s="1057"/>
      <c r="AE65" s="1057"/>
      <c r="AF65" s="1057"/>
      <c r="AG65" s="1057"/>
      <c r="AH65" s="1057"/>
      <c r="AI65" s="1057"/>
      <c r="AJ65" s="1057"/>
      <c r="AK65" s="1057"/>
    </row>
    <row r="66" spans="1:37" s="1056" customFormat="1" ht="24">
      <c r="A66" s="1969" t="s">
        <v>2057</v>
      </c>
      <c r="B66" s="1974" t="s">
        <v>2058</v>
      </c>
      <c r="C66" s="1886" t="s">
        <v>3434</v>
      </c>
      <c r="D66" s="1002">
        <f t="shared" si="12"/>
        <v>2.5999999999999999E-3</v>
      </c>
      <c r="E66" s="703"/>
      <c r="F66" s="1674"/>
      <c r="G66" s="1000">
        <f t="shared" si="17"/>
        <v>2.5999999999999999E-3</v>
      </c>
      <c r="H66" s="1003">
        <f t="shared" si="13"/>
        <v>2.5999999999999999E-3</v>
      </c>
      <c r="I66" s="3068">
        <v>0.06</v>
      </c>
      <c r="J66" s="1001">
        <f t="shared" si="14"/>
        <v>5.1999999999999998E-3</v>
      </c>
      <c r="K66" s="1001">
        <f t="shared" si="15"/>
        <v>2.5999999999999999E-3</v>
      </c>
      <c r="L66" s="1001">
        <v>0</v>
      </c>
      <c r="M66" s="1001">
        <f t="shared" si="16"/>
        <v>-2.5999999999999999E-3</v>
      </c>
      <c r="N66" s="1001">
        <f t="shared" si="16"/>
        <v>-5.1999999999999998E-3</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t="s">
        <v>3434</v>
      </c>
      <c r="D67" s="1002">
        <f t="shared" si="12"/>
        <v>2.5999999999999999E-3</v>
      </c>
      <c r="E67" s="703"/>
      <c r="F67" s="1674"/>
      <c r="G67" s="1000">
        <f t="shared" si="17"/>
        <v>2.5999999999999999E-3</v>
      </c>
      <c r="H67" s="1003">
        <f t="shared" si="13"/>
        <v>2.5999999999999999E-3</v>
      </c>
      <c r="I67" s="3068">
        <v>0.06</v>
      </c>
      <c r="J67" s="1001">
        <f t="shared" si="14"/>
        <v>5.1999999999999998E-3</v>
      </c>
      <c r="K67" s="1001">
        <f t="shared" si="15"/>
        <v>2.5999999999999999E-3</v>
      </c>
      <c r="L67" s="1001">
        <v>0</v>
      </c>
      <c r="M67" s="1001">
        <f t="shared" si="16"/>
        <v>-2.5999999999999999E-3</v>
      </c>
      <c r="N67" s="1001">
        <f t="shared" si="16"/>
        <v>-5.1999999999999998E-3</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t="s">
        <v>3436</v>
      </c>
      <c r="D68" s="1002">
        <f t="shared" si="12"/>
        <v>7.7999999999999996E-3</v>
      </c>
      <c r="E68" s="703"/>
      <c r="F68" s="1674"/>
      <c r="G68" s="1000">
        <f t="shared" si="17"/>
        <v>3.8999999999999998E-3</v>
      </c>
      <c r="H68" s="1003">
        <f t="shared" si="13"/>
        <v>3.8999999999999998E-3</v>
      </c>
      <c r="I68" s="3068">
        <v>0.09</v>
      </c>
      <c r="J68" s="1001">
        <f t="shared" si="14"/>
        <v>7.7999999999999996E-3</v>
      </c>
      <c r="K68" s="1001">
        <f t="shared" si="15"/>
        <v>3.8999999999999998E-3</v>
      </c>
      <c r="L68" s="1001">
        <v>0</v>
      </c>
      <c r="M68" s="1001">
        <f t="shared" si="16"/>
        <v>-3.8999999999999998E-3</v>
      </c>
      <c r="N68" s="1001">
        <f t="shared" si="16"/>
        <v>-7.7999999999999996E-3</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t="s">
        <v>3436</v>
      </c>
      <c r="D69" s="1002">
        <f t="shared" si="12"/>
        <v>6.0000000000000001E-3</v>
      </c>
      <c r="E69" s="704"/>
      <c r="F69" s="1674"/>
      <c r="G69" s="1000">
        <f t="shared" si="17"/>
        <v>3.0000000000000001E-3</v>
      </c>
      <c r="H69" s="1003">
        <f t="shared" si="13"/>
        <v>3.0000000000000001E-3</v>
      </c>
      <c r="I69" s="3069">
        <v>7.0000000000000007E-2</v>
      </c>
      <c r="J69" s="1001">
        <f t="shared" si="14"/>
        <v>6.0000000000000001E-3</v>
      </c>
      <c r="K69" s="1001">
        <f t="shared" si="15"/>
        <v>3.0000000000000001E-3</v>
      </c>
      <c r="L69" s="1001">
        <v>0</v>
      </c>
      <c r="M69" s="1001">
        <f t="shared" si="16"/>
        <v>-3.0000000000000001E-3</v>
      </c>
      <c r="N69" s="1001">
        <f t="shared" si="16"/>
        <v>-6.0000000000000001E-3</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8">SUMIF($J$71:$N$71,C72,J72:N72)</f>
        <v>0</v>
      </c>
      <c r="E72" s="702">
        <f>ROUND(SUM(D72:D80),4)</f>
        <v>0</v>
      </c>
      <c r="F72" s="1674"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8"/>
        <v>0</v>
      </c>
      <c r="E73" s="705"/>
      <c r="F73" s="1674"/>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8"/>
        <v>0</v>
      </c>
      <c r="E74" s="705"/>
      <c r="F74" s="1674"/>
      <c r="G74" s="1000"/>
      <c r="H74" s="1003" t="str">
        <f t="shared" si="19"/>
        <v>——</v>
      </c>
      <c r="I74" s="3068">
        <v>0.1</v>
      </c>
      <c r="J74" s="1001">
        <f t="shared" si="20"/>
        <v>0</v>
      </c>
      <c r="K74" s="1001">
        <f t="shared" si="21"/>
        <v>0</v>
      </c>
      <c r="L74" s="1001">
        <v>0</v>
      </c>
      <c r="M74" s="1001">
        <f t="shared" si="22"/>
        <v>0</v>
      </c>
      <c r="N74" s="1001">
        <f t="shared" si="22"/>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8"/>
        <v>0</v>
      </c>
      <c r="E75" s="705"/>
      <c r="F75" s="1674"/>
      <c r="G75" s="1000"/>
      <c r="H75" s="1003" t="str">
        <f t="shared" si="19"/>
        <v>——</v>
      </c>
      <c r="I75" s="3068">
        <v>0.05</v>
      </c>
      <c r="J75" s="1001">
        <f t="shared" si="20"/>
        <v>0</v>
      </c>
      <c r="K75" s="1001">
        <f t="shared" si="21"/>
        <v>0</v>
      </c>
      <c r="L75" s="1001">
        <v>0</v>
      </c>
      <c r="M75" s="1001">
        <f t="shared" si="22"/>
        <v>0</v>
      </c>
      <c r="N75" s="1001">
        <f t="shared" si="22"/>
        <v>0</v>
      </c>
      <c r="O75" s="1056"/>
      <c r="P75" s="1056"/>
      <c r="Q75" s="1843"/>
      <c r="Z75" s="1844"/>
      <c r="AA75" s="1894"/>
      <c r="AG75" s="1058"/>
      <c r="AK75" s="1894"/>
    </row>
    <row r="76" spans="1:37" ht="24">
      <c r="A76" s="1969" t="s">
        <v>2059</v>
      </c>
      <c r="B76" s="1240">
        <f>估价对象房地状况!C21</f>
        <v>0</v>
      </c>
      <c r="C76" s="1886"/>
      <c r="D76" s="1002">
        <f t="shared" si="18"/>
        <v>0</v>
      </c>
      <c r="E76" s="705"/>
      <c r="F76" s="1674"/>
      <c r="G76" s="1000"/>
      <c r="H76" s="1003" t="str">
        <f t="shared" si="19"/>
        <v>——</v>
      </c>
      <c r="I76" s="3068">
        <v>0.08</v>
      </c>
      <c r="J76" s="1001">
        <f t="shared" si="20"/>
        <v>0</v>
      </c>
      <c r="K76" s="1001">
        <f t="shared" si="21"/>
        <v>0</v>
      </c>
      <c r="L76" s="1001">
        <v>0</v>
      </c>
      <c r="M76" s="1001">
        <f t="shared" si="22"/>
        <v>0</v>
      </c>
      <c r="N76" s="1001">
        <f t="shared" si="22"/>
        <v>0</v>
      </c>
      <c r="O76" s="1056"/>
      <c r="P76" s="1056"/>
      <c r="Z76" s="1844"/>
      <c r="AA76" s="1894"/>
      <c r="AG76" s="1058"/>
      <c r="AK76" s="1894"/>
    </row>
    <row r="77" spans="1:37" ht="24">
      <c r="A77" s="1969" t="s">
        <v>2060</v>
      </c>
      <c r="B77" s="1240">
        <f>估价对象房地状况!C22</f>
        <v>0</v>
      </c>
      <c r="C77" s="1886"/>
      <c r="D77" s="1002">
        <f t="shared" si="18"/>
        <v>0</v>
      </c>
      <c r="E77" s="705"/>
      <c r="F77" s="1674"/>
      <c r="G77" s="1000"/>
      <c r="H77" s="1003" t="str">
        <f t="shared" si="19"/>
        <v>——</v>
      </c>
      <c r="I77" s="3068">
        <v>0.09</v>
      </c>
      <c r="J77" s="1001">
        <f t="shared" si="20"/>
        <v>0</v>
      </c>
      <c r="K77" s="1001">
        <f t="shared" si="21"/>
        <v>0</v>
      </c>
      <c r="L77" s="1001">
        <v>0</v>
      </c>
      <c r="M77" s="1001">
        <f t="shared" si="22"/>
        <v>0</v>
      </c>
      <c r="N77" s="1001">
        <f t="shared" si="22"/>
        <v>0</v>
      </c>
      <c r="O77" s="1056"/>
      <c r="P77" s="1056"/>
      <c r="Z77" s="1844"/>
      <c r="AA77" s="1894"/>
      <c r="AG77" s="1058"/>
      <c r="AK77" s="1894"/>
    </row>
    <row r="78" spans="1:37" ht="24">
      <c r="A78" s="1969" t="s">
        <v>2057</v>
      </c>
      <c r="B78" s="1974" t="s">
        <v>2058</v>
      </c>
      <c r="C78" s="1886"/>
      <c r="D78" s="1002">
        <f t="shared" si="18"/>
        <v>0</v>
      </c>
      <c r="E78" s="705"/>
      <c r="F78" s="1674"/>
      <c r="G78" s="1000"/>
      <c r="H78" s="1003" t="str">
        <f t="shared" si="19"/>
        <v>——</v>
      </c>
      <c r="I78" s="3068">
        <v>0.05</v>
      </c>
      <c r="J78" s="1001">
        <f t="shared" si="20"/>
        <v>0</v>
      </c>
      <c r="K78" s="1001">
        <f t="shared" si="21"/>
        <v>0</v>
      </c>
      <c r="L78" s="1001">
        <v>0</v>
      </c>
      <c r="M78" s="1001">
        <f t="shared" si="22"/>
        <v>0</v>
      </c>
      <c r="N78" s="1001">
        <f t="shared" si="22"/>
        <v>0</v>
      </c>
      <c r="O78" s="1843"/>
      <c r="P78" s="1843"/>
      <c r="Z78" s="1844"/>
      <c r="AA78" s="1894"/>
      <c r="AG78" s="1058"/>
      <c r="AK78" s="1894"/>
    </row>
    <row r="79" spans="1:37" ht="24">
      <c r="A79" s="1969" t="s">
        <v>2061</v>
      </c>
      <c r="B79" s="1972">
        <f>估价对象房地状况!C20</f>
        <v>0</v>
      </c>
      <c r="C79" s="1886"/>
      <c r="D79" s="1002">
        <f t="shared" si="18"/>
        <v>0</v>
      </c>
      <c r="E79" s="705"/>
      <c r="F79" s="1674"/>
      <c r="G79" s="1000"/>
      <c r="H79" s="1003" t="str">
        <f t="shared" si="19"/>
        <v>——</v>
      </c>
      <c r="I79" s="3068">
        <v>0.12</v>
      </c>
      <c r="J79" s="1001">
        <f t="shared" si="20"/>
        <v>0</v>
      </c>
      <c r="K79" s="1001">
        <f t="shared" si="21"/>
        <v>0</v>
      </c>
      <c r="L79" s="1001">
        <v>0</v>
      </c>
      <c r="M79" s="1001">
        <f t="shared" si="22"/>
        <v>0</v>
      </c>
      <c r="N79" s="1001">
        <f t="shared" si="22"/>
        <v>0</v>
      </c>
      <c r="Z79" s="1844"/>
      <c r="AA79" s="1894"/>
      <c r="AG79" s="1058"/>
      <c r="AK79" s="1894"/>
    </row>
    <row r="80" spans="1:37" ht="24.75" thickBot="1">
      <c r="A80" s="1976" t="s">
        <v>2068</v>
      </c>
      <c r="B80" s="1980"/>
      <c r="C80" s="1886"/>
      <c r="D80" s="1002">
        <f t="shared" si="18"/>
        <v>0</v>
      </c>
      <c r="E80" s="706"/>
      <c r="F80" s="1674"/>
      <c r="G80" s="1000"/>
      <c r="H80" s="1003" t="str">
        <f t="shared" si="19"/>
        <v>——</v>
      </c>
      <c r="I80" s="3069">
        <v>0.05</v>
      </c>
      <c r="J80" s="1001">
        <f t="shared" si="20"/>
        <v>0</v>
      </c>
      <c r="K80" s="1001">
        <f t="shared" si="21"/>
        <v>0</v>
      </c>
      <c r="L80" s="1001">
        <v>0</v>
      </c>
      <c r="M80" s="1001">
        <f t="shared" si="22"/>
        <v>0</v>
      </c>
      <c r="N80" s="1001">
        <f t="shared" si="22"/>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c r="D83" s="1002">
        <f t="shared" ref="D83:D90" si="23">SUMIF($J$82:$N$82,C83,J83:N83)</f>
        <v>0</v>
      </c>
      <c r="E83" s="702">
        <f>ROUND(SUM(D83:D90),4)</f>
        <v>0</v>
      </c>
      <c r="F83" s="1674"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4"/>
      <c r="AA83" s="1894"/>
      <c r="AG83" s="1058"/>
      <c r="AK83" s="1894"/>
    </row>
    <row r="84" spans="1:37" ht="14.25">
      <c r="A84" s="1969" t="s">
        <v>2053</v>
      </c>
      <c r="B84" s="1262">
        <f>估价对象房地状况!G16</f>
        <v>0</v>
      </c>
      <c r="C84" s="1886"/>
      <c r="D84" s="1002">
        <f t="shared" si="23"/>
        <v>0</v>
      </c>
      <c r="E84" s="705"/>
      <c r="F84" s="1674"/>
      <c r="G84" s="1000"/>
      <c r="H84" s="1003" t="str">
        <f t="shared" si="24"/>
        <v>——</v>
      </c>
      <c r="I84" s="3068">
        <v>0.3</v>
      </c>
      <c r="J84" s="1001">
        <f t="shared" si="25"/>
        <v>0</v>
      </c>
      <c r="K84" s="1001">
        <f t="shared" si="26"/>
        <v>0</v>
      </c>
      <c r="L84" s="1001">
        <v>0</v>
      </c>
      <c r="M84" s="1001">
        <f t="shared" si="27"/>
        <v>0</v>
      </c>
      <c r="N84" s="1001">
        <f t="shared" si="27"/>
        <v>0</v>
      </c>
      <c r="Z84" s="1844"/>
      <c r="AA84" s="1894"/>
      <c r="AG84" s="1058"/>
      <c r="AK84" s="1894"/>
    </row>
    <row r="85" spans="1:37" ht="36">
      <c r="A85" s="3070" t="s">
        <v>3263</v>
      </c>
      <c r="B85" s="1262">
        <f>估价对象房地状况!G17</f>
        <v>0</v>
      </c>
      <c r="C85" s="1886"/>
      <c r="D85" s="1002">
        <f t="shared" si="23"/>
        <v>0</v>
      </c>
      <c r="E85" s="705"/>
      <c r="F85" s="1674"/>
      <c r="G85" s="1000"/>
      <c r="H85" s="1003" t="str">
        <f t="shared" si="24"/>
        <v>——</v>
      </c>
      <c r="I85" s="3068">
        <v>0.1</v>
      </c>
      <c r="J85" s="1001">
        <f t="shared" si="25"/>
        <v>0</v>
      </c>
      <c r="K85" s="1001">
        <f t="shared" si="26"/>
        <v>0</v>
      </c>
      <c r="L85" s="1001">
        <v>0</v>
      </c>
      <c r="M85" s="1001">
        <f t="shared" si="27"/>
        <v>0</v>
      </c>
      <c r="N85" s="1001">
        <f t="shared" si="27"/>
        <v>0</v>
      </c>
      <c r="Z85" s="1844"/>
      <c r="AA85" s="1894"/>
      <c r="AG85" s="1058"/>
      <c r="AK85" s="1894"/>
    </row>
    <row r="86" spans="1:37" ht="14.25">
      <c r="A86" s="1969" t="s">
        <v>2067</v>
      </c>
      <c r="B86" s="1262">
        <f>估价对象房地状况!G22</f>
        <v>0</v>
      </c>
      <c r="C86" s="1886"/>
      <c r="D86" s="1002">
        <f t="shared" si="23"/>
        <v>0</v>
      </c>
      <c r="E86" s="705"/>
      <c r="F86" s="1674"/>
      <c r="G86" s="1000"/>
      <c r="H86" s="1003" t="str">
        <f t="shared" si="24"/>
        <v>——</v>
      </c>
      <c r="I86" s="3068">
        <v>0.05</v>
      </c>
      <c r="J86" s="1001">
        <f t="shared" si="25"/>
        <v>0</v>
      </c>
      <c r="K86" s="1001">
        <f t="shared" si="26"/>
        <v>0</v>
      </c>
      <c r="L86" s="1001">
        <v>0</v>
      </c>
      <c r="M86" s="1001">
        <f t="shared" si="27"/>
        <v>0</v>
      </c>
      <c r="N86" s="1001">
        <f t="shared" si="27"/>
        <v>0</v>
      </c>
      <c r="Z86" s="1844"/>
      <c r="AA86" s="1894"/>
      <c r="AG86" s="1058"/>
      <c r="AK86" s="1894"/>
    </row>
    <row r="87" spans="1:37" ht="24">
      <c r="A87" s="1969" t="s">
        <v>2059</v>
      </c>
      <c r="B87" s="1240">
        <f>估价对象房地状况!G19</f>
        <v>0</v>
      </c>
      <c r="C87" s="1886"/>
      <c r="D87" s="1002">
        <f t="shared" si="23"/>
        <v>0</v>
      </c>
      <c r="E87" s="705"/>
      <c r="F87" s="1674"/>
      <c r="G87" s="1000"/>
      <c r="H87" s="1003" t="str">
        <f t="shared" si="24"/>
        <v>——</v>
      </c>
      <c r="I87" s="3068">
        <v>0.06</v>
      </c>
      <c r="J87" s="1001">
        <f t="shared" si="25"/>
        <v>0</v>
      </c>
      <c r="K87" s="1001">
        <f t="shared" si="26"/>
        <v>0</v>
      </c>
      <c r="L87" s="1001">
        <v>0</v>
      </c>
      <c r="M87" s="1001">
        <f t="shared" si="27"/>
        <v>0</v>
      </c>
      <c r="N87" s="1001">
        <f t="shared" si="27"/>
        <v>0</v>
      </c>
    </row>
    <row r="88" spans="1:37" ht="24">
      <c r="A88" s="1969" t="s">
        <v>2060</v>
      </c>
      <c r="B88" s="1240">
        <f>估价对象房地状况!G20</f>
        <v>0</v>
      </c>
      <c r="C88" s="1886"/>
      <c r="D88" s="1002">
        <f t="shared" si="23"/>
        <v>0</v>
      </c>
      <c r="E88" s="705"/>
      <c r="F88" s="1674"/>
      <c r="G88" s="1000"/>
      <c r="H88" s="1003" t="str">
        <f t="shared" si="24"/>
        <v>——</v>
      </c>
      <c r="I88" s="3068">
        <v>0.12</v>
      </c>
      <c r="J88" s="1001">
        <f t="shared" si="25"/>
        <v>0</v>
      </c>
      <c r="K88" s="1001">
        <f t="shared" si="26"/>
        <v>0</v>
      </c>
      <c r="L88" s="1001">
        <v>0</v>
      </c>
      <c r="M88" s="1001">
        <f t="shared" si="27"/>
        <v>0</v>
      </c>
      <c r="N88" s="1001">
        <f t="shared" si="27"/>
        <v>0</v>
      </c>
    </row>
    <row r="89" spans="1:37" ht="24">
      <c r="A89" s="1969" t="s">
        <v>2057</v>
      </c>
      <c r="B89" s="1974" t="s">
        <v>2071</v>
      </c>
      <c r="C89" s="1886"/>
      <c r="D89" s="1002">
        <f t="shared" si="23"/>
        <v>0</v>
      </c>
      <c r="E89" s="705"/>
      <c r="F89" s="1674"/>
      <c r="G89" s="1000"/>
      <c r="H89" s="1003" t="str">
        <f t="shared" si="24"/>
        <v>——</v>
      </c>
      <c r="I89" s="3068">
        <v>0.06</v>
      </c>
      <c r="J89" s="1001">
        <f t="shared" si="25"/>
        <v>0</v>
      </c>
      <c r="K89" s="1001">
        <f t="shared" si="26"/>
        <v>0</v>
      </c>
      <c r="L89" s="1001">
        <v>0</v>
      </c>
      <c r="M89" s="1001">
        <f t="shared" si="27"/>
        <v>0</v>
      </c>
      <c r="N89" s="1001">
        <f t="shared" si="27"/>
        <v>0</v>
      </c>
    </row>
    <row r="90" spans="1:37" ht="15" thickBot="1">
      <c r="A90" s="1976" t="s">
        <v>2072</v>
      </c>
      <c r="B90" s="1981">
        <f>估价对象房地状况!G18</f>
        <v>0</v>
      </c>
      <c r="C90" s="1886"/>
      <c r="D90" s="1002">
        <f t="shared" si="23"/>
        <v>0</v>
      </c>
      <c r="E90" s="706"/>
      <c r="F90" s="1674"/>
      <c r="G90" s="1000"/>
      <c r="H90" s="1003" t="str">
        <f t="shared" si="24"/>
        <v>——</v>
      </c>
      <c r="I90" s="3069">
        <v>0.05</v>
      </c>
      <c r="J90" s="1001">
        <f t="shared" si="25"/>
        <v>0</v>
      </c>
      <c r="K90" s="1001">
        <f t="shared" si="26"/>
        <v>0</v>
      </c>
      <c r="L90" s="1001">
        <v>0</v>
      </c>
      <c r="M90" s="1001">
        <f t="shared" si="27"/>
        <v>0</v>
      </c>
      <c r="N90" s="1001">
        <f t="shared" si="27"/>
        <v>0</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66" t="s">
        <v>3287</v>
      </c>
      <c r="B103" s="3366"/>
      <c r="C103" s="3366"/>
      <c r="D103" s="3366"/>
      <c r="E103" s="3366"/>
      <c r="F103" s="3366"/>
      <c r="G103" s="3366"/>
      <c r="H103" s="3366"/>
      <c r="I103" s="3366"/>
      <c r="J103" s="3366"/>
      <c r="K103" s="1666"/>
      <c r="L103" s="1666"/>
      <c r="M103" s="1666"/>
      <c r="N103" s="1666"/>
    </row>
    <row r="104" spans="1:14">
      <c r="A104" s="3367" t="s">
        <v>3288</v>
      </c>
      <c r="B104" s="3367" t="s">
        <v>3289</v>
      </c>
      <c r="C104" s="3090" t="s">
        <v>3290</v>
      </c>
      <c r="D104" s="3091"/>
      <c r="E104" s="3091"/>
      <c r="F104" s="3091"/>
      <c r="G104" s="3091"/>
      <c r="H104" s="3091"/>
      <c r="I104" s="3091"/>
      <c r="J104" s="3092"/>
      <c r="K104" s="3093"/>
      <c r="L104" s="3093"/>
      <c r="M104" s="3093"/>
      <c r="N104" s="3093"/>
    </row>
    <row r="105" spans="1:14">
      <c r="A105" s="3367"/>
      <c r="B105" s="3367"/>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53"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4"/>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55"/>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56" t="s">
        <v>3304</v>
      </c>
      <c r="B113" s="3356"/>
      <c r="C113" s="3356"/>
      <c r="D113" s="3356"/>
      <c r="E113" s="3356"/>
      <c r="F113" s="3356"/>
      <c r="G113" s="3356"/>
      <c r="H113" s="3356"/>
      <c r="I113" s="3356"/>
      <c r="J113" s="335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1.31</v>
      </c>
      <c r="C116" s="3099" t="s">
        <v>3306</v>
      </c>
      <c r="D116" s="3100">
        <f>SUMPRODUCT((A118:A122=F116)*(B117:M117=H116)*B118:M122)</f>
        <v>0.97829999999999995</v>
      </c>
      <c r="E116" s="162" t="s">
        <v>3307</v>
      </c>
      <c r="F116" s="3101" t="str">
        <f>E2</f>
        <v>办公</v>
      </c>
      <c r="G116" s="162" t="s">
        <v>3308</v>
      </c>
      <c r="H116" s="3101" t="str">
        <f>G2</f>
        <v>一级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0.98240000000000005</v>
      </c>
      <c r="C118" s="3089">
        <f>B118</f>
        <v>0.98240000000000005</v>
      </c>
      <c r="D118" s="3089">
        <f>ROUND(0.949-0.014*B116,4)</f>
        <v>0.93069999999999997</v>
      </c>
      <c r="E118" s="3089">
        <f>D118</f>
        <v>0.93069999999999997</v>
      </c>
      <c r="F118" s="3089">
        <f>E118</f>
        <v>0.93069999999999997</v>
      </c>
      <c r="G118" s="3089">
        <f>F118</f>
        <v>0.93069999999999997</v>
      </c>
      <c r="H118" s="3089">
        <f>G118</f>
        <v>0.93069999999999997</v>
      </c>
      <c r="I118" s="3089">
        <f>ROUND(0.8486-0.018*B116,4)</f>
        <v>0.82499999999999996</v>
      </c>
      <c r="J118" s="3089">
        <f t="shared" ref="J118:M122" si="36">I118</f>
        <v>0.82499999999999996</v>
      </c>
      <c r="K118" s="3089">
        <f t="shared" si="36"/>
        <v>0.82499999999999996</v>
      </c>
      <c r="L118" s="3089">
        <f t="shared" si="36"/>
        <v>0.82499999999999996</v>
      </c>
      <c r="M118" s="3109">
        <f t="shared" si="36"/>
        <v>0.82499999999999996</v>
      </c>
      <c r="N118" s="3097"/>
    </row>
    <row r="119" spans="1:14">
      <c r="A119" s="3057" t="s">
        <v>3322</v>
      </c>
      <c r="B119" s="3089">
        <f>ROUND(0.993-0.0112*B116,4)</f>
        <v>0.97829999999999995</v>
      </c>
      <c r="C119" s="3089">
        <f>B119</f>
        <v>0.97829999999999995</v>
      </c>
      <c r="D119" s="3089">
        <f>ROUND(0.9415-0.0142*B116,4)</f>
        <v>0.92290000000000005</v>
      </c>
      <c r="E119" s="3089">
        <f t="shared" ref="E119:H120" si="37">D119</f>
        <v>0.92290000000000005</v>
      </c>
      <c r="F119" s="3089">
        <f t="shared" si="37"/>
        <v>0.92290000000000005</v>
      </c>
      <c r="G119" s="3089">
        <f t="shared" si="37"/>
        <v>0.92290000000000005</v>
      </c>
      <c r="H119" s="3089">
        <f t="shared" si="37"/>
        <v>0.92290000000000005</v>
      </c>
      <c r="I119" s="3089">
        <f>ROUND(0.838-0.0182*B116,4)</f>
        <v>0.81420000000000003</v>
      </c>
      <c r="J119" s="3089">
        <f t="shared" si="36"/>
        <v>0.81420000000000003</v>
      </c>
      <c r="K119" s="3089">
        <f t="shared" si="36"/>
        <v>0.81420000000000003</v>
      </c>
      <c r="L119" s="3089">
        <f t="shared" si="36"/>
        <v>0.81420000000000003</v>
      </c>
      <c r="M119" s="3109">
        <f t="shared" si="36"/>
        <v>0.81420000000000003</v>
      </c>
      <c r="N119" s="3097"/>
    </row>
    <row r="120" spans="1:14">
      <c r="A120" s="3057" t="s">
        <v>3323</v>
      </c>
      <c r="B120" s="3089">
        <f>ROUND(0.9448-0.0115*B116,4)</f>
        <v>0.92969999999999997</v>
      </c>
      <c r="C120" s="3089">
        <f>B120</f>
        <v>0.92969999999999997</v>
      </c>
      <c r="D120" s="3089">
        <f>ROUND(0.937-0.0145*B116,4)</f>
        <v>0.91800000000000004</v>
      </c>
      <c r="E120" s="3089">
        <f t="shared" si="37"/>
        <v>0.91800000000000004</v>
      </c>
      <c r="F120" s="3089">
        <f t="shared" si="37"/>
        <v>0.91800000000000004</v>
      </c>
      <c r="G120" s="3089">
        <f t="shared" si="37"/>
        <v>0.91800000000000004</v>
      </c>
      <c r="H120" s="3089">
        <f t="shared" si="37"/>
        <v>0.91800000000000004</v>
      </c>
      <c r="I120" s="3089">
        <f>ROUND(0.7965-0.0185*B116,4)</f>
        <v>0.77229999999999999</v>
      </c>
      <c r="J120" s="3089">
        <f t="shared" si="36"/>
        <v>0.77229999999999999</v>
      </c>
      <c r="K120" s="3089">
        <f t="shared" si="36"/>
        <v>0.77229999999999999</v>
      </c>
      <c r="L120" s="3089">
        <f t="shared" si="36"/>
        <v>0.77229999999999999</v>
      </c>
      <c r="M120" s="3109">
        <f t="shared" si="36"/>
        <v>0.77229999999999999</v>
      </c>
      <c r="N120" s="3097"/>
    </row>
    <row r="121" spans="1:14" ht="13.5" thickBot="1">
      <c r="A121" s="3110" t="s">
        <v>3324</v>
      </c>
      <c r="B121" s="3111">
        <f>ROUND(0.7836-0.012*B116,4)</f>
        <v>0.76790000000000003</v>
      </c>
      <c r="C121" s="3111">
        <f>B121</f>
        <v>0.76790000000000003</v>
      </c>
      <c r="D121" s="3111">
        <f>ROUND(0.753-0.015*B116,4)</f>
        <v>0.73340000000000005</v>
      </c>
      <c r="E121" s="3111">
        <f>D121</f>
        <v>0.73340000000000005</v>
      </c>
      <c r="F121" s="3111">
        <f>E121</f>
        <v>0.73340000000000005</v>
      </c>
      <c r="G121" s="3111">
        <f>ROUND(0.6612-0.018*B116,4)</f>
        <v>0.63759999999999994</v>
      </c>
      <c r="H121" s="3111">
        <f>G121</f>
        <v>0.63759999999999994</v>
      </c>
      <c r="I121" s="3111">
        <f>ROUND(0.5905-0.019*B116,4)</f>
        <v>0.56559999999999999</v>
      </c>
      <c r="J121" s="3111">
        <f t="shared" si="36"/>
        <v>0.56559999999999999</v>
      </c>
      <c r="K121" s="3111">
        <f t="shared" si="36"/>
        <v>0.56559999999999999</v>
      </c>
      <c r="L121" s="3111">
        <f t="shared" si="36"/>
        <v>0.56559999999999999</v>
      </c>
      <c r="M121" s="3112">
        <f t="shared" si="36"/>
        <v>0.56559999999999999</v>
      </c>
      <c r="N121" s="3097"/>
    </row>
    <row r="122" spans="1:14">
      <c r="A122" s="3113" t="s">
        <v>2605</v>
      </c>
      <c r="B122" s="3089">
        <f>ROUND(0.9404-0.0106*B116,4)</f>
        <v>0.92649999999999999</v>
      </c>
      <c r="C122" s="3089">
        <f>B122</f>
        <v>0.92649999999999999</v>
      </c>
      <c r="D122" s="3089">
        <f>ROUND(0.8955-0.0135*B116,4)</f>
        <v>0.87780000000000002</v>
      </c>
      <c r="E122" s="3089">
        <f t="shared" ref="E122:H122" si="38">D122</f>
        <v>0.87780000000000002</v>
      </c>
      <c r="F122" s="3089">
        <f t="shared" si="38"/>
        <v>0.87780000000000002</v>
      </c>
      <c r="G122" s="3089">
        <f t="shared" si="38"/>
        <v>0.87780000000000002</v>
      </c>
      <c r="H122" s="3089">
        <f t="shared" si="38"/>
        <v>0.87780000000000002</v>
      </c>
      <c r="I122" s="3089">
        <f>ROUND(0.7632-0.0166*B116,4)</f>
        <v>0.74150000000000005</v>
      </c>
      <c r="J122" s="3089">
        <f t="shared" si="36"/>
        <v>0.74150000000000005</v>
      </c>
      <c r="K122" s="3089">
        <f t="shared" si="36"/>
        <v>0.74150000000000005</v>
      </c>
      <c r="L122" s="3089">
        <f t="shared" si="36"/>
        <v>0.74150000000000005</v>
      </c>
      <c r="M122" s="3109">
        <f t="shared" si="36"/>
        <v>0.74150000000000005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7"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42.73</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67">
        <f ca="1">C44+J29+L46</f>
        <v>33659</v>
      </c>
      <c r="C2" s="1289" t="s">
        <v>805</v>
      </c>
      <c r="D2" s="1289"/>
      <c r="E2" s="1294"/>
      <c r="F2" s="1295"/>
      <c r="G2" s="2478"/>
      <c r="H2" s="2468"/>
      <c r="I2" s="2468"/>
      <c r="J2" s="2468"/>
      <c r="K2" s="2469"/>
      <c r="L2" s="2468"/>
      <c r="M2" s="2468"/>
    </row>
    <row r="3" spans="1:37" ht="18" customHeight="1" thickBot="1">
      <c r="A3" s="1296" t="s">
        <v>806</v>
      </c>
      <c r="B3" s="1297">
        <f ca="1">IF(ISERROR(B2*10000/F43),0,ROUND(B2*10000/F43,0))</f>
        <v>23805</v>
      </c>
      <c r="C3" s="1289" t="s">
        <v>807</v>
      </c>
      <c r="D3" s="1289"/>
      <c r="E3" s="1294"/>
      <c r="F3" s="1295"/>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2384</v>
      </c>
      <c r="D5" s="1273" t="s">
        <v>693</v>
      </c>
      <c r="E5" s="1008"/>
      <c r="F5" s="1009"/>
      <c r="G5" s="1292"/>
      <c r="H5" s="291">
        <v>1</v>
      </c>
      <c r="I5" s="292" t="s">
        <v>692</v>
      </c>
      <c r="J5" s="1007">
        <f ca="1">J6+J10+J12</f>
        <v>3832</v>
      </c>
      <c r="K5" s="1273" t="s">
        <v>693</v>
      </c>
      <c r="L5" s="1008"/>
      <c r="M5" s="1009"/>
    </row>
    <row r="6" spans="1:37" ht="18" customHeight="1">
      <c r="A6" s="1006" t="s">
        <v>398</v>
      </c>
      <c r="B6" s="3374" t="s">
        <v>694</v>
      </c>
      <c r="C6" s="1011">
        <f ca="1">ROUND(F6*F8*F7*(1-F9)/10000,0)</f>
        <v>2384</v>
      </c>
      <c r="D6" s="147" t="s">
        <v>2109</v>
      </c>
      <c r="E6" s="294" t="s">
        <v>696</v>
      </c>
      <c r="F6" s="295">
        <f ca="1">INDIRECT("'数据-取费表'!u"&amp;$G$1)</f>
        <v>4.62</v>
      </c>
      <c r="G6" s="1292"/>
      <c r="H6" s="1006" t="s">
        <v>398</v>
      </c>
      <c r="I6" s="3374" t="s">
        <v>694</v>
      </c>
      <c r="J6" s="293">
        <f ca="1">ROUND(M6*M8*M7*(1-M9)/10000,0)</f>
        <v>3827</v>
      </c>
      <c r="K6" s="147" t="s">
        <v>2108</v>
      </c>
      <c r="L6" s="294" t="s">
        <v>696</v>
      </c>
      <c r="M6" s="295">
        <f ca="1">INDIRECT("'数据-取费表'!z"&amp;$G$1)</f>
        <v>8.24</v>
      </c>
    </row>
    <row r="7" spans="1:37" ht="18" customHeight="1">
      <c r="A7" s="1010"/>
      <c r="B7" s="3375"/>
      <c r="C7" s="1012"/>
      <c r="D7" s="299"/>
      <c r="E7" s="1013" t="s">
        <v>697</v>
      </c>
      <c r="F7" s="295">
        <f ca="1">IF(INDIRECT("'数据-取费表'!ah"&amp;$G$1)="",INDIRECT("'数据-取费表'!k"&amp;$G$1),INDIRECT("'数据-取费表'!ah"&amp;$G$1))</f>
        <v>14139.199999999997</v>
      </c>
      <c r="G7" s="1292"/>
      <c r="H7" s="296"/>
      <c r="I7" s="3375"/>
      <c r="J7" s="298"/>
      <c r="K7" s="299"/>
      <c r="L7" s="294" t="s">
        <v>697</v>
      </c>
      <c r="M7" s="295">
        <f ca="1">F7</f>
        <v>14139.199999999997</v>
      </c>
    </row>
    <row r="8" spans="1:37" ht="18" customHeight="1">
      <c r="A8" s="296"/>
      <c r="B8" s="3375"/>
      <c r="C8" s="298"/>
      <c r="D8" s="299"/>
      <c r="E8" s="294" t="s">
        <v>698</v>
      </c>
      <c r="F8" s="295">
        <f ca="1">INDIRECT("'数据-取费表'!ai"&amp;$G$1)</f>
        <v>365</v>
      </c>
      <c r="G8" s="1292"/>
      <c r="H8" s="296"/>
      <c r="I8" s="3375"/>
      <c r="J8" s="298"/>
      <c r="K8" s="299"/>
      <c r="L8" s="294" t="s">
        <v>698</v>
      </c>
      <c r="M8" s="295">
        <f ca="1">INDIRECT("'数据-取费表'!ai"&amp;$G$1)</f>
        <v>365</v>
      </c>
    </row>
    <row r="9" spans="1:37" ht="18" customHeight="1">
      <c r="A9" s="296"/>
      <c r="B9" s="3376"/>
      <c r="C9" s="298"/>
      <c r="D9" s="299"/>
      <c r="E9" s="294" t="s">
        <v>699</v>
      </c>
      <c r="F9" s="304">
        <f ca="1">INDIRECT("'数据-取费表'!w"&amp;$G$1)</f>
        <v>0</v>
      </c>
      <c r="G9" s="1292"/>
      <c r="H9" s="296"/>
      <c r="I9" s="3376"/>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2117</v>
      </c>
      <c r="E10" s="305" t="s">
        <v>701</v>
      </c>
      <c r="F10" s="1053" t="s">
        <v>3422</v>
      </c>
      <c r="G10" s="1292"/>
      <c r="H10" s="1006" t="s">
        <v>402</v>
      </c>
      <c r="I10" s="1274" t="s">
        <v>700</v>
      </c>
      <c r="J10" s="293">
        <f ca="1">ROUND(IF(M10="押一",J6/12*M11,IF(M10="押二",J6/12*2*M11,IF(M10="押三",J6/12*3*M11,J11*M11))),0)</f>
        <v>5</v>
      </c>
      <c r="K10" s="150" t="s">
        <v>2116</v>
      </c>
      <c r="L10" s="305" t="s">
        <v>701</v>
      </c>
      <c r="M10" s="1053" t="s">
        <v>3423</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7553</v>
      </c>
      <c r="D13" s="1018" t="s">
        <v>705</v>
      </c>
      <c r="E13" s="1018" t="s">
        <v>706</v>
      </c>
      <c r="F13" s="1019">
        <f ca="1">INDIRECT("'数据-取费表'!y"&amp;$G$1)</f>
        <v>0.9</v>
      </c>
      <c r="G13" s="1292"/>
      <c r="H13" s="1016">
        <v>2</v>
      </c>
      <c r="I13" s="1017" t="s">
        <v>704</v>
      </c>
      <c r="J13" s="1005">
        <f ca="1">ROUND(J14*J15,0)</f>
        <v>5035</v>
      </c>
      <c r="K13" s="1024" t="s">
        <v>705</v>
      </c>
      <c r="L13" s="1298"/>
      <c r="M13" s="1299"/>
    </row>
    <row r="14" spans="1:37" ht="18" customHeight="1">
      <c r="A14" s="928" t="s">
        <v>397</v>
      </c>
      <c r="B14" s="294" t="s">
        <v>707</v>
      </c>
      <c r="C14" s="310">
        <f ca="1">INDIRECT("'数据-取费表'!m"&amp;$G$1)+INDIRECT("'数据-取费表'!t"&amp;$G$1)</f>
        <v>5656</v>
      </c>
      <c r="D14" s="1257" t="s">
        <v>708</v>
      </c>
      <c r="E14" s="1255"/>
      <c r="F14" s="311"/>
      <c r="G14" s="1292"/>
      <c r="H14" s="928" t="s">
        <v>398</v>
      </c>
      <c r="I14" s="294" t="s">
        <v>709</v>
      </c>
      <c r="J14" s="21">
        <f ca="1">C29</f>
        <v>8392</v>
      </c>
      <c r="K14" s="12"/>
      <c r="L14" s="759"/>
      <c r="M14" s="760"/>
    </row>
    <row r="15" spans="1:37" s="1303" customFormat="1" ht="18" customHeight="1" thickBot="1">
      <c r="A15" s="928" t="s">
        <v>399</v>
      </c>
      <c r="B15" s="294" t="s">
        <v>710</v>
      </c>
      <c r="C15" s="21">
        <f ca="1">ROUND(C14*F15,0)</f>
        <v>283</v>
      </c>
      <c r="D15" s="312" t="s">
        <v>711</v>
      </c>
      <c r="E15" s="312" t="s">
        <v>712</v>
      </c>
      <c r="F15" s="313">
        <f>'数据-取费表'!B33</f>
        <v>0.05</v>
      </c>
      <c r="G15" s="1302"/>
      <c r="H15" s="1026" t="s">
        <v>402</v>
      </c>
      <c r="I15" s="1027" t="s">
        <v>706</v>
      </c>
      <c r="J15" s="1036">
        <f ca="1">INDIRECT("'数据-取费表'!ad"&amp;$G$1)</f>
        <v>0.6</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729</v>
      </c>
      <c r="K16" s="1024" t="s">
        <v>715</v>
      </c>
      <c r="L16" s="1025"/>
      <c r="M16" s="1009"/>
    </row>
    <row r="17" spans="1:37" s="1303" customFormat="1" ht="18" customHeight="1">
      <c r="A17" s="928" t="s">
        <v>681</v>
      </c>
      <c r="B17" s="294" t="s">
        <v>716</v>
      </c>
      <c r="C17" s="21">
        <f ca="1">ROUND(F17*(F43+INDIRECT("'数据-取费表'!S"&amp;$G$1))/10000,0)</f>
        <v>283</v>
      </c>
      <c r="D17" s="294" t="s">
        <v>717</v>
      </c>
      <c r="E17" s="294" t="s">
        <v>718</v>
      </c>
      <c r="F17" s="23">
        <f>'数据-取费表'!B35</f>
        <v>200</v>
      </c>
      <c r="G17" s="1302"/>
      <c r="H17" s="928" t="s">
        <v>398</v>
      </c>
      <c r="I17" s="294" t="s">
        <v>719</v>
      </c>
      <c r="J17" s="2139">
        <f ca="1">ROUND(IF(AND(项目基本情况!B11="自然人",项目基本情况!B10="北京市"),J6*M17/(1+'数据-取费表'!C42),J18+J19+J20),2)</f>
        <v>669.25</v>
      </c>
      <c r="K17" s="1257" t="s">
        <v>720</v>
      </c>
      <c r="L17" s="1256"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113</v>
      </c>
      <c r="D18" s="294" t="s">
        <v>711</v>
      </c>
      <c r="E18" s="294" t="s">
        <v>712</v>
      </c>
      <c r="F18" s="314">
        <f>'数据-取费表'!B36</f>
        <v>0.02</v>
      </c>
      <c r="G18" s="1302"/>
      <c r="H18" s="928" t="s">
        <v>397</v>
      </c>
      <c r="I18" s="294" t="s">
        <v>723</v>
      </c>
      <c r="J18" s="21">
        <f ca="1">ROUND(J6*M18/(1+'数据-取费表'!C42),2)</f>
        <v>204.11</v>
      </c>
      <c r="K18" s="1256"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6335</v>
      </c>
      <c r="D19" s="123" t="s">
        <v>726</v>
      </c>
      <c r="E19" s="1269"/>
      <c r="F19" s="23"/>
      <c r="G19" s="1292"/>
      <c r="H19" s="928" t="s">
        <v>399</v>
      </c>
      <c r="I19" s="294" t="s">
        <v>727</v>
      </c>
      <c r="J19" s="21">
        <f ca="1">IF(K19="按租金收入计税",ROUND(J6*M19/(1+'数据-取费表'!C42),2),ROUND(C29*M19*0.7,2))</f>
        <v>437.37</v>
      </c>
      <c r="K19" s="1278" t="s">
        <v>3329</v>
      </c>
      <c r="L19" s="294" t="s">
        <v>712</v>
      </c>
      <c r="M19" s="314">
        <f>IF(K19="按租金收入计税",'数据-取费表'!B51,'数据-取费表'!B50)</f>
        <v>0.12</v>
      </c>
    </row>
    <row r="20" spans="1:37" s="1303" customFormat="1" ht="18" customHeight="1">
      <c r="A20" s="928" t="s">
        <v>402</v>
      </c>
      <c r="B20" s="294" t="s">
        <v>728</v>
      </c>
      <c r="C20" s="21">
        <f ca="1">ROUND(C19*F20,0)</f>
        <v>127</v>
      </c>
      <c r="D20" s="315" t="s">
        <v>729</v>
      </c>
      <c r="E20" s="294" t="s">
        <v>712</v>
      </c>
      <c r="F20" s="314">
        <f>'数据-取费表'!B37</f>
        <v>0.02</v>
      </c>
      <c r="G20" s="1302"/>
      <c r="H20" s="928" t="s">
        <v>680</v>
      </c>
      <c r="I20" s="147" t="s">
        <v>730</v>
      </c>
      <c r="J20" s="22">
        <f ca="1">ROUND(M20*M21/10000,2)</f>
        <v>27.77</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9256.19</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16.78</v>
      </c>
      <c r="K22" s="1256"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216</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5.04</v>
      </c>
      <c r="K23" s="1256"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2"/>
      <c r="H24" s="1026" t="s">
        <v>684</v>
      </c>
      <c r="I24" s="1027" t="s">
        <v>728</v>
      </c>
      <c r="J24" s="1028">
        <f ca="1">ROUND(J5*M24,2)</f>
        <v>38.32</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9"/>
      <c r="F25" s="23"/>
      <c r="G25" s="1292"/>
      <c r="H25" s="1016" t="s">
        <v>394</v>
      </c>
      <c r="I25" s="1031" t="s">
        <v>752</v>
      </c>
      <c r="J25" s="302">
        <f ca="1">J5-J16</f>
        <v>3103</v>
      </c>
      <c r="K25" s="1032" t="s">
        <v>753</v>
      </c>
      <c r="L25" s="1033"/>
      <c r="M25" s="1034"/>
    </row>
    <row r="26" spans="1:37">
      <c r="A26" s="928" t="s">
        <v>397</v>
      </c>
      <c r="B26" s="294" t="s">
        <v>754</v>
      </c>
      <c r="C26" s="21">
        <f ca="1">ROUND((C19+C20)*F26,0)</f>
        <v>969</v>
      </c>
      <c r="D26" s="315" t="s">
        <v>755</v>
      </c>
      <c r="E26" s="305" t="s">
        <v>756</v>
      </c>
      <c r="F26" s="304">
        <f ca="1">INDIRECT("'数据-取费表'!q"&amp;$G$1)</f>
        <v>0.15</v>
      </c>
      <c r="G26" s="1292"/>
      <c r="H26" s="291" t="s">
        <v>395</v>
      </c>
      <c r="I26" s="292" t="s">
        <v>757</v>
      </c>
      <c r="J26" s="3166">
        <f ca="1">IF(J5&lt;&gt;0,ROUND(J25*(1-((1+M28)/(1+M26))^M27)/(M26-M28),0),0)</f>
        <v>37963</v>
      </c>
      <c r="K26" s="316" t="s">
        <v>758</v>
      </c>
      <c r="L26" s="294" t="s">
        <v>759</v>
      </c>
      <c r="M26" s="304">
        <f ca="1">INDIRECT("'数据-取费表'!I"&amp;$G$1)</f>
        <v>0.06</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22.729999999999997</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8392</v>
      </c>
      <c r="D29" s="1029"/>
      <c r="E29" s="1027"/>
      <c r="F29" s="1030"/>
      <c r="G29" s="1302"/>
      <c r="H29" s="325" t="s">
        <v>396</v>
      </c>
      <c r="I29" s="326" t="s">
        <v>768</v>
      </c>
      <c r="J29" s="327">
        <f ca="1">ROUND(J26/(1+F40)^(F41+0.11),0)</f>
        <v>11761</v>
      </c>
      <c r="K29" s="328" t="s">
        <v>769</v>
      </c>
      <c r="L29" s="329"/>
      <c r="M29" s="330">
        <f ca="1">INDIRECT("'数据-取费表'!k"&amp;$G$1)</f>
        <v>14139.199999999997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476</v>
      </c>
      <c r="D30" s="1024" t="s">
        <v>715</v>
      </c>
      <c r="E30" s="1025"/>
      <c r="F30" s="1009"/>
      <c r="G30" s="1292"/>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427.38</v>
      </c>
      <c r="D31" s="1257" t="s">
        <v>720</v>
      </c>
      <c r="E31" s="1256" t="s">
        <v>770</v>
      </c>
      <c r="F31" s="2138" t="str">
        <f>IF(项目基本情况!B11="企业","——",IF(M47="住宅",IF(F6*F7*F8/12/(1+'数据-取费表'!F30)&gt;100000,4%,2.5%),IF(F6*F7*F8/12/(1+'数据-取费表'!F30)&gt;100000,12%,7%)))</f>
        <v>——</v>
      </c>
      <c r="G31" s="1292"/>
      <c r="H31" s="2569" t="s">
        <v>2299</v>
      </c>
      <c r="I31" s="1304"/>
      <c r="J31" s="1305"/>
      <c r="K31" s="121"/>
      <c r="L31" s="2471"/>
      <c r="M31" s="2472"/>
    </row>
    <row r="32" spans="1:37" ht="18" customHeight="1">
      <c r="A32" s="928" t="s">
        <v>397</v>
      </c>
      <c r="B32" s="294" t="s">
        <v>723</v>
      </c>
      <c r="C32" s="21">
        <f ca="1">IF(项目基本情况!B11="自然人","——",ROUND(C6*F32/(1+'数据-取费表'!C42),2))</f>
        <v>127.15</v>
      </c>
      <c r="D32" s="1256" t="s">
        <v>724</v>
      </c>
      <c r="E32" s="294" t="s">
        <v>712</v>
      </c>
      <c r="F32" s="322">
        <f>'数据-取费表'!B41</f>
        <v>5.6000000000000001E-2</v>
      </c>
      <c r="G32" s="1292"/>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272.45999999999998</v>
      </c>
      <c r="D33" s="1278" t="s">
        <v>3329</v>
      </c>
      <c r="E33" s="294" t="s">
        <v>712</v>
      </c>
      <c r="F33" s="314">
        <f>IF(D33="按票据","——",IF(D33="按租金收入计税",'数据-取费表'!B51,'数据-取费表'!B50))</f>
        <v>0.12</v>
      </c>
      <c r="G33" s="1292"/>
      <c r="H33" s="2473"/>
      <c r="I33" s="1304"/>
      <c r="J33" s="1305"/>
      <c r="K33" s="2474"/>
      <c r="L33" s="2473"/>
      <c r="M33" s="2473"/>
    </row>
    <row r="34" spans="1:18" ht="18" customHeight="1">
      <c r="A34" s="1006" t="s">
        <v>680</v>
      </c>
      <c r="B34" s="147" t="s">
        <v>730</v>
      </c>
      <c r="C34" s="22">
        <f ca="1">IF(项目基本情况!B11="自然人","——",ROUND(F34*F35/10000,2))</f>
        <v>27.77</v>
      </c>
      <c r="D34" s="316" t="s">
        <v>731</v>
      </c>
      <c r="E34" s="294" t="s">
        <v>732</v>
      </c>
      <c r="F34" s="317">
        <f>'数据-取费表'!B52</f>
        <v>30</v>
      </c>
      <c r="G34" s="1292"/>
      <c r="H34" s="2470"/>
      <c r="I34" s="1304"/>
      <c r="J34" s="1305"/>
      <c r="K34" s="2475"/>
      <c r="L34" s="2476"/>
      <c r="M34" s="2476"/>
    </row>
    <row r="35" spans="1:18" ht="18" customHeight="1">
      <c r="A35" s="1040"/>
      <c r="B35" s="1038"/>
      <c r="C35" s="26"/>
      <c r="D35" s="319"/>
      <c r="E35" s="294" t="s">
        <v>736</v>
      </c>
      <c r="F35" s="295">
        <f ca="1">INDIRECT("'数据-取费表'!r"&amp;$G$1)</f>
        <v>9256.19</v>
      </c>
      <c r="G35" s="1292"/>
      <c r="H35" s="2470"/>
      <c r="I35" s="1304"/>
      <c r="J35" s="1305"/>
      <c r="K35" s="2474"/>
      <c r="L35" s="2473"/>
      <c r="M35" s="2473"/>
    </row>
    <row r="36" spans="1:18" ht="18" customHeight="1">
      <c r="A36" s="1039" t="s">
        <v>402</v>
      </c>
      <c r="B36" s="294" t="s">
        <v>738</v>
      </c>
      <c r="C36" s="21">
        <f ca="1">ROUND(C29*F36,2)</f>
        <v>16.78</v>
      </c>
      <c r="D36" s="1256" t="s">
        <v>771</v>
      </c>
      <c r="E36" s="294" t="s">
        <v>712</v>
      </c>
      <c r="F36" s="320">
        <f ca="1">INDIRECT("'数据-取费表'!Ak"&amp;$G$1)</f>
        <v>2E-3</v>
      </c>
      <c r="G36" s="1292"/>
      <c r="H36" s="2473"/>
      <c r="I36" s="1304"/>
      <c r="J36" s="1305"/>
      <c r="K36" s="2330"/>
      <c r="L36" s="2473"/>
      <c r="M36" s="2473"/>
    </row>
    <row r="37" spans="1:18" ht="18" customHeight="1">
      <c r="A37" s="928" t="s">
        <v>437</v>
      </c>
      <c r="B37" s="294" t="s">
        <v>742</v>
      </c>
      <c r="C37" s="21">
        <f ca="1">ROUND(C13*F37,2)</f>
        <v>7.55</v>
      </c>
      <c r="D37" s="1256" t="s">
        <v>743</v>
      </c>
      <c r="E37" s="294" t="s">
        <v>744</v>
      </c>
      <c r="F37" s="321">
        <f ca="1">INDIRECT("'数据-取费表'!Al"&amp;$G$1)</f>
        <v>1E-3</v>
      </c>
      <c r="G37" s="1292"/>
      <c r="H37" s="2473"/>
      <c r="I37" s="1304"/>
      <c r="J37" s="1305"/>
      <c r="K37" s="2330"/>
      <c r="L37" s="2473"/>
      <c r="M37" s="2473"/>
    </row>
    <row r="38" spans="1:18" ht="18" customHeight="1" thickBot="1">
      <c r="A38" s="1026" t="s">
        <v>684</v>
      </c>
      <c r="B38" s="1027" t="s">
        <v>728</v>
      </c>
      <c r="C38" s="1028">
        <f ca="1">ROUND(C5*F38,2)</f>
        <v>23.84</v>
      </c>
      <c r="D38" s="1029" t="s">
        <v>748</v>
      </c>
      <c r="E38" s="1027" t="s">
        <v>744</v>
      </c>
      <c r="F38" s="1023">
        <f ca="1">INDIRECT("'数据-取费表'!Am"&amp;$G$1)</f>
        <v>0.01</v>
      </c>
      <c r="G38" s="1292"/>
      <c r="H38" s="2473"/>
      <c r="I38" s="1304"/>
      <c r="J38" s="1305"/>
      <c r="K38" s="2471"/>
      <c r="L38" s="2473"/>
      <c r="M38" s="2473"/>
    </row>
    <row r="39" spans="1:18" ht="24.6" customHeight="1" thickTop="1">
      <c r="A39" s="1016" t="s">
        <v>394</v>
      </c>
      <c r="B39" s="1031" t="s">
        <v>772</v>
      </c>
      <c r="C39" s="302">
        <f ca="1">C5-C30</f>
        <v>1908</v>
      </c>
      <c r="D39" s="1032" t="s">
        <v>773</v>
      </c>
      <c r="E39" s="1033"/>
      <c r="F39" s="1034"/>
      <c r="G39" s="1292"/>
      <c r="H39" s="2473"/>
      <c r="I39" s="1304"/>
      <c r="J39" s="1305"/>
      <c r="K39" s="2471"/>
      <c r="L39" s="2473"/>
      <c r="M39" s="2473"/>
    </row>
    <row r="40" spans="1:18" ht="18" customHeight="1">
      <c r="A40" s="291" t="s">
        <v>395</v>
      </c>
      <c r="B40" s="292" t="s">
        <v>774</v>
      </c>
      <c r="C40" s="293">
        <f ca="1">ROUND(C39*(1-((1+F42)/(1+F40))^F41)/(F40-F42),0)</f>
        <v>21885</v>
      </c>
      <c r="D40" s="316" t="s">
        <v>758</v>
      </c>
      <c r="E40" s="294" t="s">
        <v>759</v>
      </c>
      <c r="F40" s="304">
        <f ca="1">INDIRECT("'数据-取费表'!I"&amp;$G$1)</f>
        <v>0.06</v>
      </c>
      <c r="G40" s="1292"/>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20</v>
      </c>
      <c r="G41" s="1292"/>
      <c r="H41" s="121"/>
      <c r="I41" s="1304"/>
      <c r="J41" s="1305"/>
      <c r="K41" s="2330"/>
      <c r="L41" s="121"/>
      <c r="M41" s="121"/>
    </row>
    <row r="42" spans="1:18" ht="18" customHeight="1">
      <c r="A42" s="300"/>
      <c r="B42" s="301"/>
      <c r="C42" s="302"/>
      <c r="D42" s="319"/>
      <c r="E42" s="294" t="s">
        <v>766</v>
      </c>
      <c r="F42" s="304">
        <f ca="1">INDIRECT("'数据-取费表'!v"&amp;$G$1)</f>
        <v>0</v>
      </c>
      <c r="G42" s="1292"/>
      <c r="H42" s="121"/>
      <c r="I42" s="1304"/>
      <c r="J42" s="1305"/>
      <c r="K42" s="2330"/>
      <c r="L42" s="121"/>
      <c r="M42" s="121"/>
    </row>
    <row r="43" spans="1:18" ht="18" customHeight="1" thickBot="1">
      <c r="A43" s="325" t="s">
        <v>396</v>
      </c>
      <c r="B43" s="326" t="s">
        <v>776</v>
      </c>
      <c r="C43" s="327">
        <f ca="1">ROUND(C40*10000/F43,0)</f>
        <v>15478</v>
      </c>
      <c r="D43" s="328" t="s">
        <v>777</v>
      </c>
      <c r="E43" s="329" t="s">
        <v>778</v>
      </c>
      <c r="F43" s="330">
        <f ca="1">INDIRECT("'数据-取费表'!k"&amp;$G$1)</f>
        <v>14139.199999999997</v>
      </c>
      <c r="G43" s="1292"/>
      <c r="H43" s="121"/>
      <c r="I43" s="121"/>
      <c r="J43" s="121"/>
      <c r="K43" s="2330"/>
      <c r="L43" s="121"/>
      <c r="M43" s="121"/>
    </row>
    <row r="44" spans="1:18" s="1292" customFormat="1" ht="18" customHeight="1">
      <c r="A44" s="1306"/>
      <c r="B44" s="1306"/>
      <c r="C44" s="3165">
        <f ca="1">ROUND(C40/(1+F40)^0.11,0)</f>
        <v>21745</v>
      </c>
      <c r="D44" s="1306"/>
      <c r="E44" s="1306"/>
      <c r="F44" s="1306"/>
      <c r="K44" s="1308"/>
    </row>
    <row r="45" spans="1:18" s="1292" customFormat="1" ht="18" customHeight="1" thickBot="1">
      <c r="A45" s="1306"/>
      <c r="B45" s="1306"/>
      <c r="C45" s="1307"/>
      <c r="D45" s="1306"/>
      <c r="E45" s="1306"/>
      <c r="F45" s="1306"/>
      <c r="J45" s="685"/>
      <c r="O45" s="2477" t="s">
        <v>808</v>
      </c>
      <c r="P45" s="1365"/>
      <c r="Q45" s="1365"/>
      <c r="R45" s="1365"/>
    </row>
    <row r="46" spans="1:18" s="1292" customFormat="1" ht="13.5" thickBot="1">
      <c r="A46" s="1310" t="s">
        <v>809</v>
      </c>
      <c r="C46" s="1311">
        <f ca="1">C68-C40</f>
        <v>13660</v>
      </c>
      <c r="D46" s="1312" t="str">
        <f>C2</f>
        <v>万元</v>
      </c>
      <c r="E46" s="1306"/>
      <c r="F46" s="1306"/>
      <c r="I46" s="1313" t="s">
        <v>810</v>
      </c>
      <c r="J46" s="1314"/>
      <c r="K46" s="1315"/>
      <c r="L46" s="1316">
        <f ca="1">IF(M47="住宅",0,IF(L48&gt;J51,L60,J60))</f>
        <v>153</v>
      </c>
      <c r="O46" s="1317" t="s">
        <v>811</v>
      </c>
      <c r="P46" s="1318" t="s">
        <v>812</v>
      </c>
      <c r="Q46" s="1319" t="s">
        <v>813</v>
      </c>
      <c r="R46" s="1319" t="s">
        <v>814</v>
      </c>
    </row>
    <row r="47" spans="1:18" s="1292" customFormat="1" ht="13.5" thickBot="1">
      <c r="A47" s="892" t="s">
        <v>687</v>
      </c>
      <c r="B47" s="924" t="s">
        <v>688</v>
      </c>
      <c r="C47" s="1054" t="s">
        <v>689</v>
      </c>
      <c r="D47" s="924" t="s">
        <v>690</v>
      </c>
      <c r="E47" s="995" t="s">
        <v>691</v>
      </c>
      <c r="F47" s="996"/>
      <c r="G47" s="681"/>
      <c r="I47" s="1320" t="s">
        <v>815</v>
      </c>
      <c r="J47" s="1321" t="s">
        <v>3426</v>
      </c>
      <c r="K47" s="1322" t="s">
        <v>816</v>
      </c>
      <c r="L47" s="1323">
        <f ca="1">INDIRECT("'数据-取费表'!d"&amp;$G$1)</f>
        <v>50</v>
      </c>
      <c r="M47" s="1288" t="str">
        <f>IF(ISNUMBER(FIND("住宅",C1)),"住宅","非住宅")</f>
        <v>非住宅</v>
      </c>
      <c r="O47" s="1324" t="s">
        <v>403</v>
      </c>
      <c r="P47" s="1325" t="s">
        <v>817</v>
      </c>
      <c r="Q47" s="1326">
        <f ca="1">C40+J29</f>
        <v>33646</v>
      </c>
      <c r="R47" s="1326" t="s">
        <v>818</v>
      </c>
    </row>
    <row r="48" spans="1:18" s="1292" customFormat="1" ht="28.5" thickBot="1">
      <c r="A48" s="1047" t="s">
        <v>438</v>
      </c>
      <c r="B48" s="292" t="s">
        <v>692</v>
      </c>
      <c r="C48" s="1268">
        <f ca="1">C49+C53+C55</f>
        <v>3832</v>
      </c>
      <c r="D48" s="1049"/>
      <c r="E48" s="1050"/>
      <c r="F48" s="908"/>
      <c r="G48" s="681"/>
      <c r="H48" s="682"/>
      <c r="I48" s="1327" t="s">
        <v>819</v>
      </c>
      <c r="J48" s="1328" t="s">
        <v>3424</v>
      </c>
      <c r="K48" s="1329" t="s">
        <v>820</v>
      </c>
      <c r="L48" s="1330">
        <f ca="1">INDIRECT("'数据-取费表'!f"&amp;$G$1)</f>
        <v>42.73</v>
      </c>
      <c r="O48" s="1324" t="s">
        <v>404</v>
      </c>
      <c r="P48" s="1325" t="s">
        <v>821</v>
      </c>
      <c r="Q48" s="1326">
        <f ca="1">J60</f>
        <v>153</v>
      </c>
      <c r="R48" s="1326" t="s">
        <v>822</v>
      </c>
    </row>
    <row r="49" spans="1:18" s="1292" customFormat="1" ht="13.5" thickBot="1">
      <c r="A49" s="921" t="s">
        <v>439</v>
      </c>
      <c r="B49" s="1279" t="s">
        <v>779</v>
      </c>
      <c r="C49" s="1051">
        <f ca="1">ROUND(F49*F51*F50*(1-F52)/10000,0)</f>
        <v>3827</v>
      </c>
      <c r="D49" s="992" t="s">
        <v>2110</v>
      </c>
      <c r="E49" s="1280" t="s">
        <v>780</v>
      </c>
      <c r="F49" s="997">
        <f>面积!M24</f>
        <v>8.24</v>
      </c>
      <c r="H49" s="682"/>
      <c r="I49" s="1327" t="s">
        <v>823</v>
      </c>
      <c r="J49" s="1331">
        <v>2024</v>
      </c>
      <c r="K49" s="1329" t="s">
        <v>824</v>
      </c>
      <c r="L49" s="1332"/>
      <c r="O49" s="1333" t="s">
        <v>405</v>
      </c>
      <c r="P49" s="1325" t="s">
        <v>825</v>
      </c>
      <c r="Q49" s="1326">
        <f ca="1">C29</f>
        <v>8392</v>
      </c>
      <c r="R49" s="1326" t="s">
        <v>818</v>
      </c>
    </row>
    <row r="50" spans="1:18" s="1292" customFormat="1" ht="13.5" thickBot="1">
      <c r="A50" s="922"/>
      <c r="B50" s="925"/>
      <c r="C50" s="1055"/>
      <c r="D50" s="899"/>
      <c r="E50" s="993" t="s">
        <v>697</v>
      </c>
      <c r="F50" s="994">
        <f ca="1">F7</f>
        <v>14139.199999999997</v>
      </c>
      <c r="H50" s="682"/>
      <c r="I50" s="1327" t="s">
        <v>826</v>
      </c>
      <c r="J50" s="1334">
        <f>SUMPRODUCT((I63:I65=J47)*(J62:L62=J48)*(J63:L65))</f>
        <v>50</v>
      </c>
      <c r="K50" s="1329" t="s">
        <v>827</v>
      </c>
      <c r="L50" s="1332"/>
      <c r="M50" s="1335"/>
      <c r="O50" s="1333" t="s">
        <v>406</v>
      </c>
      <c r="P50" s="1325" t="s">
        <v>828</v>
      </c>
      <c r="Q50" s="1336">
        <f ca="1">J58</f>
        <v>0.4</v>
      </c>
      <c r="R50" s="1326"/>
    </row>
    <row r="51" spans="1:18" s="1292"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23353</v>
      </c>
      <c r="M51" s="1340"/>
      <c r="O51" s="1333" t="s">
        <v>407</v>
      </c>
      <c r="P51" s="1325" t="s">
        <v>831</v>
      </c>
      <c r="Q51" s="1336">
        <f>J52</f>
        <v>7.5000000000000011E-2</v>
      </c>
      <c r="R51" s="1326"/>
    </row>
    <row r="52" spans="1:18" s="1292" customFormat="1" ht="13.5" thickBot="1">
      <c r="A52" s="923"/>
      <c r="B52" s="925"/>
      <c r="C52" s="926"/>
      <c r="D52" s="899"/>
      <c r="E52" s="927" t="s">
        <v>699</v>
      </c>
      <c r="F52" s="991">
        <v>0.1</v>
      </c>
      <c r="I52" s="1341" t="s">
        <v>832</v>
      </c>
      <c r="J52" s="1342">
        <f>'数据-取费表'!J6+0.5%</f>
        <v>7.5000000000000011E-2</v>
      </c>
      <c r="K52" s="1341" t="s">
        <v>833</v>
      </c>
      <c r="L52" s="1342"/>
      <c r="O52" s="1333" t="s">
        <v>408</v>
      </c>
      <c r="P52" s="1325" t="s">
        <v>834</v>
      </c>
      <c r="Q52" s="1326">
        <f ca="1">J53</f>
        <v>42.73</v>
      </c>
      <c r="R52" s="1326" t="s">
        <v>835</v>
      </c>
    </row>
    <row r="53" spans="1:18" s="1292" customFormat="1" ht="24.75" thickBot="1">
      <c r="A53" s="1079" t="s">
        <v>440</v>
      </c>
      <c r="B53" s="1281" t="s">
        <v>700</v>
      </c>
      <c r="C53" s="308">
        <f ca="1">ROUND(IF(F53="押一",C49/12*F11,IF(F53="押二",C49/12*2*F11,IF(F53="押三",C49/12*3*F11,C54*F11))),0)</f>
        <v>5</v>
      </c>
      <c r="D53" s="150" t="s">
        <v>2116</v>
      </c>
      <c r="E53" s="305" t="s">
        <v>701</v>
      </c>
      <c r="F53" s="1053" t="s">
        <v>3423</v>
      </c>
      <c r="I53" s="1343" t="s">
        <v>836</v>
      </c>
      <c r="J53" s="2005">
        <f ca="1">IF(M47="住宅",IF(D1="——",MAX(J51,L48),MAX(J51,L48-'数据-取费表'!B24)),IF(D1="——",MIN(J51,L48),MIN(J51,L48-'数据-取费表'!B24)))</f>
        <v>42.73</v>
      </c>
      <c r="K53" s="3372" t="s">
        <v>837</v>
      </c>
      <c r="L53" s="3373"/>
      <c r="O53" s="1324" t="s">
        <v>409</v>
      </c>
      <c r="P53" s="1325" t="s">
        <v>838</v>
      </c>
      <c r="Q53" s="1326">
        <f ca="1">Q47+Q48</f>
        <v>33799</v>
      </c>
      <c r="R53" s="1326" t="s">
        <v>410</v>
      </c>
    </row>
    <row r="54" spans="1:18" s="1292" customFormat="1" ht="13.5" thickBot="1">
      <c r="A54" s="1080"/>
      <c r="B54" s="1275" t="s">
        <v>679</v>
      </c>
      <c r="C54" s="905"/>
      <c r="D54" s="150"/>
      <c r="E54" s="1282"/>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9"/>
      <c r="Q54" s="1289"/>
      <c r="R54" s="1289"/>
    </row>
    <row r="55" spans="1:18" s="1292" customFormat="1" ht="13.5" thickBot="1">
      <c r="A55" s="1020" t="s">
        <v>437</v>
      </c>
      <c r="B55" s="1277" t="s">
        <v>703</v>
      </c>
      <c r="C55" s="1021"/>
      <c r="D55" s="150"/>
      <c r="E55" s="1282"/>
      <c r="F55" s="1344"/>
      <c r="I55" s="1347" t="s">
        <v>840</v>
      </c>
      <c r="J55" s="1348">
        <f ca="1">ROUND(IF(J47="钢混",J57/J50,1-(1-2%)*(J50-J57)/J50),3)</f>
        <v>0.16200000000000001</v>
      </c>
      <c r="K55" s="1349" t="s">
        <v>841</v>
      </c>
      <c r="L55" s="1350"/>
      <c r="O55" s="1317" t="s">
        <v>811</v>
      </c>
      <c r="P55" s="1318" t="s">
        <v>812</v>
      </c>
      <c r="Q55" s="1319" t="s">
        <v>813</v>
      </c>
      <c r="R55" s="1319" t="s">
        <v>814</v>
      </c>
    </row>
    <row r="56" spans="1:18" s="1292" customFormat="1" ht="25.5" thickTop="1" thickBot="1">
      <c r="A56" s="903">
        <v>2</v>
      </c>
      <c r="B56" s="904" t="s">
        <v>704</v>
      </c>
      <c r="C56" s="224">
        <f ca="1">C13</f>
        <v>7553</v>
      </c>
      <c r="D56" s="1351"/>
      <c r="E56" s="1352"/>
      <c r="F56" s="1344"/>
      <c r="I56" s="1353" t="s">
        <v>842</v>
      </c>
      <c r="J56" s="1354" t="s">
        <v>3425</v>
      </c>
      <c r="K56" s="1327" t="s">
        <v>843</v>
      </c>
      <c r="L56" s="1330" t="str">
        <f ca="1">IF(L48&lt;J51,"——",L48-J53)</f>
        <v>——</v>
      </c>
      <c r="O56" s="1324" t="s">
        <v>403</v>
      </c>
      <c r="P56" s="1325" t="s">
        <v>817</v>
      </c>
      <c r="Q56" s="1326">
        <f ca="1">C40+J29</f>
        <v>33646</v>
      </c>
      <c r="R56" s="1326" t="s">
        <v>818</v>
      </c>
    </row>
    <row r="57" spans="1:18" s="1292" customFormat="1" ht="24.75" thickBot="1">
      <c r="A57" s="1355"/>
      <c r="B57" s="896" t="s">
        <v>767</v>
      </c>
      <c r="C57" s="230">
        <f ca="1">C29</f>
        <v>8392</v>
      </c>
      <c r="D57" s="1356"/>
      <c r="E57" s="1357"/>
      <c r="F57" s="1358"/>
      <c r="I57" s="1359" t="s">
        <v>844</v>
      </c>
      <c r="J57" s="1360">
        <f ca="1">IF(OR(M47="住宅",J51&lt;L48,J56="是"),"——",J51-L48)</f>
        <v>7.2700000000000031</v>
      </c>
      <c r="K57" s="1327" t="s">
        <v>845</v>
      </c>
      <c r="L57" s="1330" t="str">
        <f ca="1">IF(L48&lt;J51,"——",IF(L55="比较法",L49,IF(L55="基准地价",L50,L51)))</f>
        <v>——</v>
      </c>
      <c r="O57" s="1324" t="s">
        <v>404</v>
      </c>
      <c r="P57" s="1325" t="s">
        <v>846</v>
      </c>
      <c r="Q57" s="1326">
        <f ca="1">L60</f>
        <v>0</v>
      </c>
      <c r="R57" s="1326" t="s">
        <v>847</v>
      </c>
    </row>
    <row r="58" spans="1:18" s="1292" customFormat="1" ht="24.75" thickBot="1">
      <c r="A58" s="307" t="s">
        <v>393</v>
      </c>
      <c r="B58" s="904" t="s">
        <v>714</v>
      </c>
      <c r="C58" s="308">
        <f ca="1">ROUND(C59+C64+C65+C66,0)</f>
        <v>733</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2" customFormat="1" ht="24.75" thickBot="1">
      <c r="A59" s="928" t="s">
        <v>398</v>
      </c>
      <c r="B59" s="896" t="s">
        <v>719</v>
      </c>
      <c r="C59" s="2139">
        <f ca="1">ROUND(IF(AND(项目基本情况!B11="自然人",项目基本情况!B10="北京市"),C49*F59/(1+'数据-取费表'!C42),C60+C61+C62),0)</f>
        <v>670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3357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2" customFormat="1" ht="16.5" thickBot="1">
      <c r="A60" s="928" t="s">
        <v>397</v>
      </c>
      <c r="B60" s="896" t="s">
        <v>723</v>
      </c>
      <c r="C60" s="21">
        <f ca="1">IF(项目基本情况!B11="自然人","——",ROUND(C48*F60/(1+'数据-取费表'!C42),2))</f>
        <v>204.37</v>
      </c>
      <c r="D60" s="910" t="s">
        <v>724</v>
      </c>
      <c r="E60" s="896" t="s">
        <v>712</v>
      </c>
      <c r="F60" s="322">
        <f t="shared" ref="F60:F66" si="0">F32</f>
        <v>5.6000000000000001E-2</v>
      </c>
      <c r="I60" s="1362" t="s">
        <v>853</v>
      </c>
      <c r="J60" s="1363">
        <f ca="1">IF(OR(M47="住宅",J51&lt;L48,J56="是"),"0",ROUND(J59/(1+J52)^J53,0))</f>
        <v>153</v>
      </c>
      <c r="K60" s="1364" t="s">
        <v>854</v>
      </c>
      <c r="L60" s="1363">
        <f ca="1">IF(OR(M47="住宅",L48&lt;J51),0,ROUND(L57*(L58/L59-1),0))</f>
        <v>0</v>
      </c>
      <c r="O60" s="1333" t="s">
        <v>407</v>
      </c>
      <c r="P60" s="1325" t="s">
        <v>855</v>
      </c>
      <c r="Q60" s="1326" t="e">
        <f ca="1">L58</f>
        <v>#DIV/0!</v>
      </c>
      <c r="R60" s="1326"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437.37</v>
      </c>
      <c r="D61" s="1278" t="s">
        <v>3329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2" customFormat="1" ht="13.5" thickBot="1">
      <c r="A62" s="928" t="s">
        <v>784</v>
      </c>
      <c r="B62" s="895" t="s">
        <v>785</v>
      </c>
      <c r="C62" s="22">
        <f ca="1">IF(项目基本情况!B11="自然人","——",ROUND(F62*F63/10000,2))</f>
        <v>27.77</v>
      </c>
      <c r="D62" s="911" t="s">
        <v>786</v>
      </c>
      <c r="E62" s="896" t="s">
        <v>787</v>
      </c>
      <c r="F62" s="317">
        <f t="shared" si="0"/>
        <v>30</v>
      </c>
      <c r="I62" s="1366" t="s">
        <v>858</v>
      </c>
      <c r="J62" s="610" t="s">
        <v>859</v>
      </c>
      <c r="K62" s="610" t="s">
        <v>860</v>
      </c>
      <c r="L62" s="610" t="s">
        <v>861</v>
      </c>
      <c r="M62" s="1367" t="s">
        <v>862</v>
      </c>
      <c r="O62" s="1324" t="s">
        <v>409</v>
      </c>
      <c r="P62" s="1325" t="s">
        <v>863</v>
      </c>
      <c r="Q62" s="1326">
        <f ca="1">Q56+Q57</f>
        <v>33646</v>
      </c>
      <c r="R62" s="1326" t="s">
        <v>410</v>
      </c>
    </row>
    <row r="63" spans="1:18" s="1292" customFormat="1" ht="13.5" thickBot="1">
      <c r="A63" s="318"/>
      <c r="B63" s="902"/>
      <c r="C63" s="26"/>
      <c r="D63" s="912"/>
      <c r="E63" s="896" t="s">
        <v>788</v>
      </c>
      <c r="F63" s="295">
        <f t="shared" ca="1" si="0"/>
        <v>9256.19</v>
      </c>
      <c r="I63" s="1366" t="s">
        <v>864</v>
      </c>
      <c r="J63" s="610">
        <v>70</v>
      </c>
      <c r="K63" s="610">
        <v>50</v>
      </c>
      <c r="L63" s="610">
        <v>80</v>
      </c>
      <c r="M63" s="1368">
        <v>0.02</v>
      </c>
      <c r="O63" s="1309" t="s">
        <v>865</v>
      </c>
      <c r="P63" s="1289"/>
      <c r="Q63" s="1289"/>
      <c r="R63" s="1289"/>
    </row>
    <row r="64" spans="1:18" s="1292" customFormat="1" ht="13.5" thickBot="1">
      <c r="A64" s="928" t="s">
        <v>789</v>
      </c>
      <c r="B64" s="896" t="s">
        <v>790</v>
      </c>
      <c r="C64" s="21">
        <f ca="1">ROUND(C57*F64,2)</f>
        <v>16.78</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2" customFormat="1" ht="13.5" thickBot="1">
      <c r="A65" s="928" t="s">
        <v>792</v>
      </c>
      <c r="B65" s="896" t="s">
        <v>742</v>
      </c>
      <c r="C65" s="21">
        <f ca="1">ROUND(C56*F65,2)</f>
        <v>7.55</v>
      </c>
      <c r="D65" s="910" t="s">
        <v>743</v>
      </c>
      <c r="E65" s="896" t="s">
        <v>744</v>
      </c>
      <c r="F65" s="321">
        <f t="shared" ca="1" si="0"/>
        <v>1E-3</v>
      </c>
      <c r="I65" s="1366" t="s">
        <v>867</v>
      </c>
      <c r="J65" s="610">
        <v>40</v>
      </c>
      <c r="K65" s="610">
        <v>30</v>
      </c>
      <c r="L65" s="610">
        <v>50</v>
      </c>
      <c r="M65" s="1368">
        <v>0.02</v>
      </c>
      <c r="O65" s="1324" t="s">
        <v>403</v>
      </c>
      <c r="P65" s="1325" t="s">
        <v>868</v>
      </c>
      <c r="Q65" s="1326">
        <f ca="1">C40+J29</f>
        <v>33646</v>
      </c>
      <c r="R65" s="1326" t="s">
        <v>818</v>
      </c>
    </row>
    <row r="66" spans="1:18" s="1292" customFormat="1" ht="16.5" thickBot="1">
      <c r="A66" s="928" t="s">
        <v>793</v>
      </c>
      <c r="B66" s="896" t="s">
        <v>728</v>
      </c>
      <c r="C66" s="21">
        <f ca="1">ROUND(C48*F66,2)</f>
        <v>38.32</v>
      </c>
      <c r="D66" s="910" t="s">
        <v>794</v>
      </c>
      <c r="E66" s="896" t="s">
        <v>712</v>
      </c>
      <c r="F66" s="304">
        <f t="shared" ca="1" si="0"/>
        <v>0.01</v>
      </c>
      <c r="O66" s="1324" t="s">
        <v>404</v>
      </c>
      <c r="P66" s="1325" t="s">
        <v>846</v>
      </c>
      <c r="Q66" s="1326">
        <f ca="1">L60</f>
        <v>0</v>
      </c>
      <c r="R66" s="1326" t="s">
        <v>869</v>
      </c>
    </row>
    <row r="67" spans="1:18" s="1292" customFormat="1" ht="16.5" thickBot="1">
      <c r="A67" s="903" t="s">
        <v>394</v>
      </c>
      <c r="B67" s="913" t="s">
        <v>752</v>
      </c>
      <c r="C67" s="308">
        <f ca="1">C48-C58</f>
        <v>3099</v>
      </c>
      <c r="D67" s="909" t="s">
        <v>753</v>
      </c>
      <c r="E67" s="914"/>
      <c r="F67" s="915"/>
      <c r="O67" s="1333" t="s">
        <v>405</v>
      </c>
      <c r="P67" s="1325" t="s">
        <v>850</v>
      </c>
      <c r="Q67" s="1369">
        <f ca="1">L51</f>
        <v>23353</v>
      </c>
      <c r="R67" s="1326" t="s">
        <v>870</v>
      </c>
    </row>
    <row r="68" spans="1:18" s="1292" customFormat="1" ht="16.5" thickBot="1">
      <c r="A68" s="893" t="s">
        <v>395</v>
      </c>
      <c r="B68" s="894" t="s">
        <v>774</v>
      </c>
      <c r="C68" s="293">
        <f ca="1">ROUND(C67*(1-((1+F70)/(1+F68))^F69)/(F68-F70),0)</f>
        <v>35545</v>
      </c>
      <c r="D68" s="911" t="s">
        <v>758</v>
      </c>
      <c r="E68" s="896" t="s">
        <v>759</v>
      </c>
      <c r="F68" s="304">
        <f ca="1">F40</f>
        <v>0.06</v>
      </c>
      <c r="O68" s="1333" t="s">
        <v>406</v>
      </c>
      <c r="P68" s="1370" t="s">
        <v>871</v>
      </c>
      <c r="Q68" s="1326">
        <f ca="1">ROUND(Q69-Q70*Q71,0)</f>
        <v>1379</v>
      </c>
      <c r="R68" s="1326" t="s">
        <v>414</v>
      </c>
    </row>
    <row r="69" spans="1:18" s="1292" customFormat="1" ht="13.5" thickBot="1">
      <c r="A69" s="897"/>
      <c r="B69" s="898"/>
      <c r="C69" s="298"/>
      <c r="D69" s="916" t="s">
        <v>762</v>
      </c>
      <c r="E69" s="896" t="s">
        <v>763</v>
      </c>
      <c r="F69" s="324">
        <f ca="1">F41</f>
        <v>20</v>
      </c>
      <c r="O69" s="1333" t="s">
        <v>411</v>
      </c>
      <c r="P69" s="1370" t="s">
        <v>872</v>
      </c>
      <c r="Q69" s="1326">
        <f ca="1">C39</f>
        <v>1908</v>
      </c>
      <c r="R69" s="1326" t="s">
        <v>818</v>
      </c>
    </row>
    <row r="70" spans="1:18" s="1292" customFormat="1" ht="13.5" thickBot="1">
      <c r="A70" s="900"/>
      <c r="B70" s="901"/>
      <c r="C70" s="302"/>
      <c r="D70" s="912"/>
      <c r="E70" s="896" t="s">
        <v>766</v>
      </c>
      <c r="F70" s="991">
        <v>0</v>
      </c>
      <c r="O70" s="1333" t="s">
        <v>412</v>
      </c>
      <c r="P70" s="1370" t="s">
        <v>873</v>
      </c>
      <c r="Q70" s="1326">
        <f ca="1">C13</f>
        <v>7553</v>
      </c>
      <c r="R70" s="1326" t="s">
        <v>818</v>
      </c>
    </row>
    <row r="71" spans="1:18" s="1292" customFormat="1" ht="13.5" thickBot="1">
      <c r="A71" s="917" t="s">
        <v>396</v>
      </c>
      <c r="B71" s="918" t="s">
        <v>776</v>
      </c>
      <c r="C71" s="327">
        <f ca="1">ROUND(C68*10000/F71,0)</f>
        <v>25139</v>
      </c>
      <c r="D71" s="919" t="s">
        <v>777</v>
      </c>
      <c r="E71" s="920" t="s">
        <v>778</v>
      </c>
      <c r="F71" s="330">
        <f ca="1">F43</f>
        <v>14139.199999999997</v>
      </c>
      <c r="O71" s="1333" t="s">
        <v>413</v>
      </c>
      <c r="P71" s="1370" t="s">
        <v>874</v>
      </c>
      <c r="Q71" s="1336">
        <f ca="1">C76</f>
        <v>7.0000000000000007E-2</v>
      </c>
      <c r="R71" s="1326"/>
    </row>
    <row r="72" spans="1:18" s="1292" customFormat="1" ht="13.5" thickBot="1">
      <c r="B72" s="685"/>
      <c r="C72" s="685"/>
      <c r="O72" s="1333" t="s">
        <v>407</v>
      </c>
      <c r="P72" s="1325" t="s">
        <v>852</v>
      </c>
      <c r="Q72" s="1336">
        <f>L52</f>
        <v>0</v>
      </c>
      <c r="R72" s="1326"/>
    </row>
    <row r="73" spans="1:18" ht="16.5" thickBot="1">
      <c r="A73" s="1292"/>
      <c r="B73" s="685"/>
      <c r="C73" s="685"/>
      <c r="D73" s="1292"/>
      <c r="E73" s="1292"/>
      <c r="F73" s="1292"/>
      <c r="O73" s="1333" t="s">
        <v>408</v>
      </c>
      <c r="P73" s="1325" t="s">
        <v>855</v>
      </c>
      <c r="Q73" s="1326" t="e">
        <f ca="1">L58</f>
        <v>#DIV/0!</v>
      </c>
      <c r="R73" s="1326" t="s">
        <v>856</v>
      </c>
    </row>
    <row r="74" spans="1:18" ht="13.5" thickBot="1">
      <c r="A74" s="1292"/>
      <c r="B74" s="265" t="s">
        <v>875</v>
      </c>
      <c r="C74" s="1372"/>
      <c r="D74" s="1292"/>
      <c r="E74" s="1292"/>
      <c r="F74" s="1292"/>
      <c r="O74" s="1333" t="s">
        <v>415</v>
      </c>
      <c r="P74" s="1325" t="str">
        <f>K59</f>
        <v>建筑物剩余耐用年限下的土地年期修正系数Kn</v>
      </c>
      <c r="Q74" s="1326" t="e">
        <f ca="1">L59</f>
        <v>#DIV/0!</v>
      </c>
      <c r="R74" s="1326" t="s">
        <v>857</v>
      </c>
    </row>
    <row r="75" spans="1:18" ht="13.5" thickBot="1">
      <c r="A75" s="1292"/>
      <c r="B75" s="331" t="s">
        <v>795</v>
      </c>
      <c r="C75" s="332">
        <f ca="1">ROUND(C13*C76,0)</f>
        <v>529</v>
      </c>
      <c r="D75" s="1292"/>
      <c r="E75" s="1292"/>
      <c r="F75" s="1292"/>
      <c r="K75" s="1308"/>
      <c r="L75" s="1292"/>
      <c r="O75" s="1324" t="s">
        <v>409</v>
      </c>
      <c r="P75" s="1325" t="s">
        <v>838</v>
      </c>
      <c r="Q75" s="1326">
        <f ca="1">Q65+Q66</f>
        <v>33646</v>
      </c>
      <c r="R75" s="1326" t="s">
        <v>410</v>
      </c>
    </row>
    <row r="76" spans="1:18">
      <c r="B76" s="333" t="s">
        <v>796</v>
      </c>
      <c r="C76" s="334">
        <f ca="1">INDIRECT("'数据-取费表'!j"&amp;$G$1)</f>
        <v>7.0000000000000007E-2</v>
      </c>
      <c r="I76" s="1292"/>
      <c r="J76" s="1292"/>
      <c r="K76" s="1308"/>
      <c r="L76" s="1292"/>
    </row>
    <row r="77" spans="1:18">
      <c r="B77" s="335" t="s">
        <v>797</v>
      </c>
      <c r="C77" s="336"/>
      <c r="I77" s="1292"/>
      <c r="J77" s="1292"/>
      <c r="K77" s="1308"/>
      <c r="L77" s="1292"/>
    </row>
    <row r="78" spans="1:18">
      <c r="B78" s="262" t="s">
        <v>798</v>
      </c>
      <c r="C78" s="337"/>
    </row>
    <row r="79" spans="1:18">
      <c r="B79" s="331" t="s">
        <v>799</v>
      </c>
      <c r="C79" s="266">
        <f ca="1">1-C80</f>
        <v>0.72299999999999998</v>
      </c>
    </row>
    <row r="80" spans="1:18">
      <c r="B80" s="331" t="s">
        <v>800</v>
      </c>
      <c r="C80" s="266">
        <f ca="1">ROUND(C75/C39,3)</f>
        <v>0.27700000000000002</v>
      </c>
    </row>
    <row r="81" spans="2:3">
      <c r="B81" s="262" t="s">
        <v>801</v>
      </c>
      <c r="C81" s="230"/>
    </row>
    <row r="82" spans="2:3">
      <c r="B82" s="265" t="s">
        <v>802</v>
      </c>
      <c r="C82" s="267">
        <f ca="1">1-C83</f>
        <v>0.65500000000000003</v>
      </c>
    </row>
    <row r="83" spans="2:3">
      <c r="B83" s="265" t="s">
        <v>803</v>
      </c>
      <c r="C83" s="266">
        <f ca="1">ROUND(C13/C40,3)</f>
        <v>0.34499999999999997</v>
      </c>
    </row>
  </sheetData>
  <sheetProtection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L14" sqref="L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9" t="s">
        <v>882</v>
      </c>
      <c r="D3" s="1289"/>
      <c r="E3" s="1294"/>
      <c r="F3" s="1295"/>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4" t="s">
        <v>694</v>
      </c>
      <c r="C6" s="1011">
        <f ca="1">ROUND(F6*F8*F7*(1-F9),0)</f>
        <v>0</v>
      </c>
      <c r="D6" s="147" t="s">
        <v>2106</v>
      </c>
      <c r="E6" s="294" t="s">
        <v>696</v>
      </c>
      <c r="F6" s="295">
        <f ca="1">INDIRECT("'数据-取费表'!u"&amp;$G$1)</f>
        <v>0</v>
      </c>
      <c r="G6" s="1292"/>
      <c r="H6" s="1006" t="s">
        <v>398</v>
      </c>
      <c r="I6" s="3374" t="s">
        <v>694</v>
      </c>
      <c r="J6" s="293">
        <f ca="1">ROUND(M6*M8*M7*(1-M9),0)</f>
        <v>0</v>
      </c>
      <c r="K6" s="1284" t="s">
        <v>2107</v>
      </c>
      <c r="L6" s="294" t="s">
        <v>696</v>
      </c>
      <c r="M6" s="295">
        <f ca="1">INDIRECT("'数据-取费表'!z"&amp;$G$1)</f>
        <v>0</v>
      </c>
    </row>
    <row r="7" spans="1:37" ht="18" customHeight="1">
      <c r="A7" s="1010"/>
      <c r="B7" s="3375"/>
      <c r="C7" s="1012"/>
      <c r="D7" s="299"/>
      <c r="E7" s="1013" t="s">
        <v>697</v>
      </c>
      <c r="F7" s="295">
        <f ca="1">IF(INDIRECT("'数据-取费表'!ah"&amp;$G$1)="",INDIRECT("'数据-取费表'!k"&amp;$G$1),INDIRECT("'数据-取费表'!ah"&amp;$G$1))</f>
        <v>0</v>
      </c>
      <c r="G7" s="1292"/>
      <c r="H7" s="296"/>
      <c r="I7" s="3375"/>
      <c r="J7" s="298"/>
      <c r="K7" s="299"/>
      <c r="L7" s="294" t="s">
        <v>697</v>
      </c>
      <c r="M7" s="295">
        <f ca="1">F7</f>
        <v>0</v>
      </c>
    </row>
    <row r="8" spans="1:37" ht="18" customHeight="1">
      <c r="A8" s="296"/>
      <c r="B8" s="3375"/>
      <c r="C8" s="298"/>
      <c r="D8" s="299"/>
      <c r="E8" s="294" t="s">
        <v>698</v>
      </c>
      <c r="F8" s="295">
        <f ca="1">INDIRECT("'数据-取费表'!ai"&amp;$G$1)</f>
        <v>0</v>
      </c>
      <c r="G8" s="1292"/>
      <c r="H8" s="296"/>
      <c r="I8" s="3375"/>
      <c r="J8" s="298"/>
      <c r="K8" s="299"/>
      <c r="L8" s="294" t="s">
        <v>698</v>
      </c>
      <c r="M8" s="295">
        <f ca="1">INDIRECT("'数据-取费表'!ai"&amp;$G$1)</f>
        <v>0</v>
      </c>
    </row>
    <row r="9" spans="1:37" ht="18" customHeight="1">
      <c r="A9" s="296"/>
      <c r="B9" s="3376"/>
      <c r="C9" s="298"/>
      <c r="D9" s="299"/>
      <c r="E9" s="294" t="s">
        <v>699</v>
      </c>
      <c r="F9" s="304">
        <f ca="1">INDIRECT("'数据-取费表'!w"&amp;$G$1)</f>
        <v>0</v>
      </c>
      <c r="G9" s="1292"/>
      <c r="H9" s="296"/>
      <c r="I9" s="337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6"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6"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2"/>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4"/>
      <c r="J31" s="1305"/>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30</v>
      </c>
      <c r="G34" s="1292"/>
      <c r="H34" s="2470"/>
      <c r="I34" s="1304"/>
      <c r="J34" s="1305"/>
      <c r="K34" s="2475"/>
      <c r="L34" s="2476"/>
      <c r="M34" s="2476"/>
    </row>
    <row r="35" spans="1:18" ht="18" customHeight="1">
      <c r="A35" s="1040"/>
      <c r="B35" s="1038"/>
      <c r="C35" s="26"/>
      <c r="D35" s="319"/>
      <c r="E35" s="294" t="s">
        <v>736</v>
      </c>
      <c r="F35" s="295">
        <f ca="1">INDIRECT("'数据-取费表'!r"&amp;$G$1)</f>
        <v>0</v>
      </c>
      <c r="G35" s="1292"/>
      <c r="H35" s="2470"/>
      <c r="I35" s="1304"/>
      <c r="J35" s="1305"/>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4"/>
      <c r="J36" s="1305"/>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4"/>
      <c r="J38" s="1305"/>
      <c r="K38" s="2471"/>
      <c r="L38" s="2473"/>
      <c r="M38" s="2473"/>
    </row>
    <row r="39" spans="1:18" ht="24.6" customHeight="1" thickTop="1">
      <c r="A39" s="1016" t="s">
        <v>394</v>
      </c>
      <c r="B39" s="1031" t="s">
        <v>772</v>
      </c>
      <c r="C39" s="302">
        <f ca="1">C5-C30</f>
        <v>0</v>
      </c>
      <c r="D39" s="1032" t="s">
        <v>773</v>
      </c>
      <c r="E39" s="1033"/>
      <c r="F39" s="1034"/>
      <c r="G39" s="1292"/>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2"/>
      <c r="H41" s="121"/>
      <c r="I41" s="1304"/>
      <c r="J41" s="1305"/>
      <c r="K41" s="2330"/>
      <c r="L41" s="121"/>
      <c r="M41" s="121"/>
    </row>
    <row r="42" spans="1:18" ht="18" customHeight="1">
      <c r="A42" s="300"/>
      <c r="B42" s="301"/>
      <c r="C42" s="302"/>
      <c r="D42" s="319"/>
      <c r="E42" s="294" t="s">
        <v>766</v>
      </c>
      <c r="F42" s="304">
        <f ca="1">INDIRECT("'数据-取费表'!v"&amp;$G$1)</f>
        <v>0</v>
      </c>
      <c r="G42" s="1292"/>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6"/>
      <c r="B44" s="1306"/>
      <c r="C44" s="1307"/>
      <c r="D44" s="1306"/>
      <c r="E44" s="1306"/>
      <c r="F44" s="1306"/>
      <c r="K44" s="1308"/>
    </row>
    <row r="45" spans="1:18" s="1292" customFormat="1" ht="18" customHeight="1" thickBot="1">
      <c r="A45" s="3129" t="s">
        <v>3345</v>
      </c>
      <c r="B45" s="1306"/>
      <c r="C45" s="1375" t="e">
        <f ca="1">ROUND((C68-C40)/10000,4)</f>
        <v>#DIV/0!</v>
      </c>
      <c r="D45" s="3130" t="s">
        <v>3346</v>
      </c>
      <c r="E45" s="1306"/>
      <c r="F45" s="1306"/>
      <c r="O45" s="1309" t="s">
        <v>808</v>
      </c>
      <c r="P45" s="1365"/>
      <c r="Q45" s="1365"/>
      <c r="R45" s="1365"/>
    </row>
    <row r="46" spans="1:18" s="1292"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2"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8" t="str">
        <f>IF(ISNUMBER(FIND("住宅",C1)),"住宅","非住宅")</f>
        <v>非住宅</v>
      </c>
      <c r="O47" s="1324" t="s">
        <v>403</v>
      </c>
      <c r="P47" s="1325" t="s">
        <v>817</v>
      </c>
      <c r="Q47" s="1326" t="e">
        <f ca="1">C40+J29</f>
        <v>#DIV/0!</v>
      </c>
      <c r="R47" s="1326" t="s">
        <v>818</v>
      </c>
    </row>
    <row r="48" spans="1:18" s="1292" customFormat="1" ht="28.5" thickBot="1">
      <c r="A48" s="1047" t="s">
        <v>438</v>
      </c>
      <c r="B48" s="292" t="s">
        <v>692</v>
      </c>
      <c r="C48" s="1268">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2" customFormat="1" ht="13.5" thickBot="1">
      <c r="A49" s="921" t="s">
        <v>439</v>
      </c>
      <c r="B49" s="1279" t="s">
        <v>779</v>
      </c>
      <c r="C49" s="1051">
        <f ca="1">ROUND(F49*F51*F50*(1-F52),0)</f>
        <v>0</v>
      </c>
      <c r="D49" s="992" t="s">
        <v>695</v>
      </c>
      <c r="E49" s="1280" t="s">
        <v>780</v>
      </c>
      <c r="F49" s="997"/>
      <c r="H49" s="682"/>
      <c r="I49" s="1327" t="s">
        <v>823</v>
      </c>
      <c r="J49" s="1331"/>
      <c r="K49" s="1329" t="s">
        <v>824</v>
      </c>
      <c r="L49" s="1332"/>
      <c r="O49" s="1333" t="s">
        <v>405</v>
      </c>
      <c r="P49" s="1325" t="s">
        <v>825</v>
      </c>
      <c r="Q49" s="1326">
        <f ca="1">C29</f>
        <v>0</v>
      </c>
      <c r="R49" s="1326" t="s">
        <v>818</v>
      </c>
    </row>
    <row r="50" spans="1:18" s="1292"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2"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2"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72" t="s">
        <v>837</v>
      </c>
      <c r="L53" s="3373"/>
      <c r="O53" s="1324" t="s">
        <v>409</v>
      </c>
      <c r="P53" s="1325" t="s">
        <v>838</v>
      </c>
      <c r="Q53" s="1326" t="e">
        <f ca="1">Q47+Q48</f>
        <v>#DIV/0!</v>
      </c>
      <c r="R53" s="1326" t="s">
        <v>410</v>
      </c>
    </row>
    <row r="54" spans="1:18" s="1292" customFormat="1" ht="13.5" thickBot="1">
      <c r="A54" s="921"/>
      <c r="B54" s="1376" t="s">
        <v>891</v>
      </c>
      <c r="C54" s="905"/>
      <c r="D54" s="150"/>
      <c r="E54" s="1282"/>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9"/>
      <c r="Q54" s="1289"/>
      <c r="R54" s="1289"/>
    </row>
    <row r="55" spans="1:18" s="1292" customFormat="1" ht="13.5" thickBot="1">
      <c r="A55" s="1020" t="s">
        <v>437</v>
      </c>
      <c r="B55" s="1277" t="s">
        <v>703</v>
      </c>
      <c r="C55" s="1021"/>
      <c r="D55" s="150"/>
      <c r="E55" s="1282"/>
      <c r="F55" s="1344"/>
      <c r="I55" s="1347" t="s">
        <v>840</v>
      </c>
      <c r="J55" s="1348" t="e">
        <f ca="1">ROUND(IF(J47="钢混",J57/J50,1-(1-2%)*(J50-J57)/J50),3)</f>
        <v>#DIV/0!</v>
      </c>
      <c r="K55" s="1349" t="s">
        <v>841</v>
      </c>
      <c r="L55" s="1350"/>
      <c r="O55" s="1317" t="s">
        <v>811</v>
      </c>
      <c r="P55" s="1318" t="s">
        <v>812</v>
      </c>
      <c r="Q55" s="1319" t="s">
        <v>813</v>
      </c>
      <c r="R55" s="1319" t="s">
        <v>814</v>
      </c>
    </row>
    <row r="56" spans="1:18" s="1292"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2"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2"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3" t="s">
        <v>406</v>
      </c>
      <c r="P59" s="1325" t="s">
        <v>852</v>
      </c>
      <c r="Q59" s="1336">
        <f>L52</f>
        <v>0</v>
      </c>
      <c r="R59" s="1326"/>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2" customFormat="1" ht="13.5" thickBot="1">
      <c r="A62" s="928" t="s">
        <v>784</v>
      </c>
      <c r="B62" s="895" t="s">
        <v>785</v>
      </c>
      <c r="C62" s="22">
        <f ca="1">IF(项目基本情况!B11="自然人","——",ROUND(F62*F63,0))</f>
        <v>0</v>
      </c>
      <c r="D62" s="911" t="s">
        <v>786</v>
      </c>
      <c r="E62" s="896" t="s">
        <v>787</v>
      </c>
      <c r="F62" s="317">
        <f t="shared" si="0"/>
        <v>30</v>
      </c>
      <c r="I62" s="1366" t="s">
        <v>858</v>
      </c>
      <c r="J62" s="610" t="s">
        <v>859</v>
      </c>
      <c r="K62" s="610" t="s">
        <v>860</v>
      </c>
      <c r="L62" s="610" t="s">
        <v>861</v>
      </c>
      <c r="M62" s="1367" t="s">
        <v>862</v>
      </c>
      <c r="O62" s="1324" t="s">
        <v>409</v>
      </c>
      <c r="P62" s="1325" t="s">
        <v>863</v>
      </c>
      <c r="Q62" s="1326" t="e">
        <f ca="1">Q56+Q57</f>
        <v>#DIV/0!</v>
      </c>
      <c r="R62" s="1326" t="s">
        <v>410</v>
      </c>
    </row>
    <row r="63" spans="1:18" s="1292" customFormat="1" ht="13.5" thickBot="1">
      <c r="A63" s="318"/>
      <c r="B63" s="902"/>
      <c r="C63" s="26"/>
      <c r="D63" s="912"/>
      <c r="E63" s="896" t="s">
        <v>788</v>
      </c>
      <c r="F63" s="295">
        <f t="shared" ca="1" si="0"/>
        <v>0</v>
      </c>
      <c r="I63" s="1366" t="s">
        <v>864</v>
      </c>
      <c r="J63" s="610">
        <v>70</v>
      </c>
      <c r="K63" s="610">
        <v>50</v>
      </c>
      <c r="L63" s="610">
        <v>80</v>
      </c>
      <c r="M63" s="1368">
        <v>0.02</v>
      </c>
      <c r="O63" s="1309"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2"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2"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2"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2"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2" customFormat="1" ht="13.5" thickBot="1">
      <c r="A69" s="897"/>
      <c r="B69" s="898"/>
      <c r="C69" s="298"/>
      <c r="D69" s="916" t="s">
        <v>762</v>
      </c>
      <c r="E69" s="896" t="s">
        <v>763</v>
      </c>
      <c r="F69" s="324">
        <f ca="1">F41</f>
        <v>0</v>
      </c>
      <c r="O69" s="1333" t="s">
        <v>411</v>
      </c>
      <c r="P69" s="1370" t="s">
        <v>872</v>
      </c>
      <c r="Q69" s="1326">
        <f ca="1">C39</f>
        <v>0</v>
      </c>
      <c r="R69" s="1326" t="s">
        <v>818</v>
      </c>
    </row>
    <row r="70" spans="1:18" s="1292" customFormat="1" ht="13.5" thickBot="1">
      <c r="A70" s="900"/>
      <c r="B70" s="901"/>
      <c r="C70" s="302"/>
      <c r="D70" s="912"/>
      <c r="E70" s="896" t="s">
        <v>766</v>
      </c>
      <c r="F70" s="991"/>
      <c r="O70" s="1333" t="s">
        <v>412</v>
      </c>
      <c r="P70" s="1370" t="s">
        <v>873</v>
      </c>
      <c r="Q70" s="1326">
        <f ca="1">C13</f>
        <v>0</v>
      </c>
      <c r="R70" s="1326" t="s">
        <v>818</v>
      </c>
    </row>
    <row r="71" spans="1:18" s="1292"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2" customFormat="1" ht="13.5" thickBot="1">
      <c r="B72" s="685"/>
      <c r="C72" s="685"/>
      <c r="O72" s="1333" t="s">
        <v>407</v>
      </c>
      <c r="P72" s="1325" t="s">
        <v>852</v>
      </c>
      <c r="Q72" s="1336">
        <f>L52</f>
        <v>0</v>
      </c>
      <c r="R72" s="1326"/>
    </row>
    <row r="73" spans="1:18" ht="16.5" thickBot="1">
      <c r="A73" s="1292"/>
      <c r="B73" s="685"/>
      <c r="C73" s="685"/>
      <c r="D73" s="1292"/>
      <c r="E73" s="1292"/>
      <c r="F73" s="1292"/>
      <c r="O73" s="1333" t="s">
        <v>408</v>
      </c>
      <c r="P73" s="1325" t="s">
        <v>855</v>
      </c>
      <c r="Q73" s="1326" t="e">
        <f ca="1">L58</f>
        <v>#DIV/0!</v>
      </c>
      <c r="R73" s="1326" t="s">
        <v>856</v>
      </c>
    </row>
    <row r="74" spans="1:18" ht="13.5" thickBot="1">
      <c r="A74" s="1292"/>
      <c r="B74" s="265" t="s">
        <v>875</v>
      </c>
      <c r="C74" s="1372"/>
      <c r="D74" s="1292"/>
      <c r="E74" s="1292"/>
      <c r="F74" s="1292"/>
      <c r="O74" s="1333" t="s">
        <v>415</v>
      </c>
      <c r="P74" s="1325" t="str">
        <f>K59</f>
        <v>建筑物剩余耐用年限下的土地年期修正系数Kn</v>
      </c>
      <c r="Q74" s="1326" t="e">
        <f ca="1">L59</f>
        <v>#DIV/0!</v>
      </c>
      <c r="R74" s="1326" t="s">
        <v>857</v>
      </c>
    </row>
    <row r="75" spans="1:18" ht="13.5" thickBot="1">
      <c r="A75" s="1292"/>
      <c r="B75" s="331" t="s">
        <v>795</v>
      </c>
      <c r="C75" s="332">
        <f ca="1">ROUND(C13*C76,0)</f>
        <v>0</v>
      </c>
      <c r="D75" s="1292"/>
      <c r="E75" s="1292"/>
      <c r="F75" s="1292"/>
      <c r="K75" s="1308"/>
      <c r="L75" s="1292"/>
      <c r="O75" s="1324" t="s">
        <v>409</v>
      </c>
      <c r="P75" s="1325" t="s">
        <v>838</v>
      </c>
      <c r="Q75" s="1326" t="e">
        <f ca="1">Q65+Q66</f>
        <v>#DIV/0!</v>
      </c>
      <c r="R75" s="1326" t="s">
        <v>410</v>
      </c>
    </row>
    <row r="76" spans="1:18">
      <c r="B76" s="333" t="s">
        <v>796</v>
      </c>
      <c r="C76" s="334">
        <f ca="1">INDIRECT("'数据-取费表'!j"&amp;$G$1)</f>
        <v>0</v>
      </c>
      <c r="I76" s="1292"/>
      <c r="J76" s="1292"/>
      <c r="K76" s="1308"/>
      <c r="L76" s="1292"/>
    </row>
    <row r="77" spans="1:18">
      <c r="B77" s="335" t="s">
        <v>797</v>
      </c>
      <c r="C77" s="336"/>
      <c r="I77" s="1292"/>
      <c r="J77" s="1292"/>
      <c r="K77" s="1308"/>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L14" sqref="L14"/>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77" t="s">
        <v>2310</v>
      </c>
      <c r="K2" s="3378"/>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79" t="s">
        <v>2320</v>
      </c>
      <c r="K3" s="3380"/>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79" t="s">
        <v>2322</v>
      </c>
      <c r="K4" s="3380"/>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81" t="s">
        <v>2326</v>
      </c>
      <c r="B6" s="3382"/>
      <c r="C6" s="3383"/>
      <c r="D6" s="2621"/>
      <c r="E6" s="2622"/>
      <c r="F6" s="2623"/>
      <c r="G6" s="2624"/>
      <c r="H6" s="2599"/>
      <c r="I6" s="2600"/>
      <c r="J6" s="3384">
        <v>1</v>
      </c>
      <c r="K6" s="3385"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84"/>
      <c r="K7" s="3386"/>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88" t="s">
        <v>2340</v>
      </c>
      <c r="C8" s="3389"/>
      <c r="D8" s="2640" t="s">
        <v>2341</v>
      </c>
      <c r="E8" s="2641" t="s">
        <v>2342</v>
      </c>
      <c r="F8" s="2642" t="s">
        <v>2343</v>
      </c>
      <c r="G8" s="2643"/>
      <c r="H8" s="2599"/>
      <c r="I8" s="2600"/>
      <c r="J8" s="3384"/>
      <c r="K8" s="3386"/>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88" t="s">
        <v>2346</v>
      </c>
      <c r="C9" s="3389"/>
      <c r="D9" s="2640">
        <f>ROUND(D6*E9,0)</f>
        <v>0</v>
      </c>
      <c r="E9" s="2644"/>
      <c r="F9" s="2645" t="s">
        <v>2347</v>
      </c>
      <c r="G9" s="2624"/>
      <c r="H9" s="2599"/>
      <c r="I9" s="2600"/>
      <c r="J9" s="3384"/>
      <c r="K9" s="3386"/>
      <c r="L9" s="2634" t="s">
        <v>2348</v>
      </c>
      <c r="M9" s="2635"/>
      <c r="N9" s="2611"/>
      <c r="O9" s="2636"/>
      <c r="P9" s="2636"/>
      <c r="Q9" s="2637">
        <v>365</v>
      </c>
      <c r="R9" s="2638">
        <f t="shared" si="0"/>
        <v>0</v>
      </c>
      <c r="S9" s="2592"/>
      <c r="T9" s="2592"/>
      <c r="U9" s="2592"/>
      <c r="V9" s="2600"/>
    </row>
    <row r="10" spans="1:22" s="2604" customFormat="1" ht="13.15" customHeight="1">
      <c r="A10" s="2639">
        <v>2</v>
      </c>
      <c r="B10" s="3388" t="s">
        <v>2349</v>
      </c>
      <c r="C10" s="3389"/>
      <c r="D10" s="2640">
        <f>ROUND(D6*E10,0)</f>
        <v>0</v>
      </c>
      <c r="E10" s="2644"/>
      <c r="F10" s="2645" t="s">
        <v>2350</v>
      </c>
      <c r="G10" s="2624"/>
      <c r="H10" s="2599"/>
      <c r="I10" s="2600"/>
      <c r="J10" s="3384"/>
      <c r="K10" s="3386"/>
      <c r="L10" s="2634" t="s">
        <v>2351</v>
      </c>
      <c r="M10" s="2635"/>
      <c r="N10" s="2611"/>
      <c r="O10" s="2636"/>
      <c r="P10" s="2636"/>
      <c r="Q10" s="2637">
        <v>365</v>
      </c>
      <c r="R10" s="2638">
        <f t="shared" si="0"/>
        <v>0</v>
      </c>
      <c r="S10" s="2592"/>
      <c r="T10" s="2592"/>
      <c r="U10" s="2592"/>
      <c r="V10" s="2600"/>
    </row>
    <row r="11" spans="1:22" s="2604" customFormat="1" ht="13.15" customHeight="1">
      <c r="A11" s="2639">
        <v>3</v>
      </c>
      <c r="B11" s="3388" t="s">
        <v>2352</v>
      </c>
      <c r="C11" s="3389"/>
      <c r="D11" s="2640">
        <f>D12+D14+D15+D16</f>
        <v>0</v>
      </c>
      <c r="E11" s="2646" t="e">
        <f>D11/D6</f>
        <v>#DIV/0!</v>
      </c>
      <c r="F11" s="2642"/>
      <c r="G11" s="2643"/>
      <c r="H11" s="2599"/>
      <c r="I11" s="2600"/>
      <c r="J11" s="3384"/>
      <c r="K11" s="3386"/>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90" t="s">
        <v>2355</v>
      </c>
      <c r="C12" s="3391"/>
      <c r="D12" s="2648">
        <f>ROUND(D13*1.2%*(1-30%),0)</f>
        <v>0</v>
      </c>
      <c r="E12" s="2649">
        <v>1.2E-2</v>
      </c>
      <c r="F12" s="2642" t="s">
        <v>2356</v>
      </c>
      <c r="G12" s="2643"/>
      <c r="H12" s="2599"/>
      <c r="I12" s="2600"/>
      <c r="J12" s="3384"/>
      <c r="K12" s="3386"/>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84"/>
      <c r="K13" s="3386"/>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90" t="s">
        <v>2361</v>
      </c>
      <c r="C14" s="3391"/>
      <c r="D14" s="2648">
        <f>ROUND(E14*B5/10000,0)</f>
        <v>0</v>
      </c>
      <c r="E14" s="2637"/>
      <c r="F14" s="2642" t="s">
        <v>2362</v>
      </c>
      <c r="G14" s="2643"/>
      <c r="H14" s="2599"/>
      <c r="I14" s="2600"/>
      <c r="J14" s="3384"/>
      <c r="K14" s="3387"/>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90" t="s">
        <v>2365</v>
      </c>
      <c r="C15" s="3391"/>
      <c r="D15" s="2648">
        <f>ROUND(D6*E15,0)</f>
        <v>0</v>
      </c>
      <c r="E15" s="2649">
        <v>5.5E-2</v>
      </c>
      <c r="F15" s="2642" t="s">
        <v>2366</v>
      </c>
      <c r="G15" s="2624"/>
      <c r="H15" s="2599"/>
      <c r="I15" s="2600"/>
      <c r="J15" s="3384">
        <v>2</v>
      </c>
      <c r="K15" s="3385"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90" t="s">
        <v>2374</v>
      </c>
      <c r="C16" s="3391"/>
      <c r="D16" s="2659">
        <f>D6*E16</f>
        <v>0</v>
      </c>
      <c r="E16" s="2660"/>
      <c r="F16" s="2645" t="s">
        <v>2375</v>
      </c>
      <c r="G16" s="2624"/>
      <c r="H16" s="2599"/>
      <c r="I16" s="2600"/>
      <c r="J16" s="3384"/>
      <c r="K16" s="3386"/>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92" t="s">
        <v>2377</v>
      </c>
      <c r="C17" s="3393"/>
      <c r="D17" s="2662">
        <f>ROUND(D6*E17,0)</f>
        <v>0</v>
      </c>
      <c r="E17" s="2663"/>
      <c r="F17" s="2664" t="s">
        <v>2378</v>
      </c>
      <c r="G17" s="2624"/>
      <c r="H17" s="2599"/>
      <c r="I17" s="2600"/>
      <c r="J17" s="3384"/>
      <c r="K17" s="3386"/>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84"/>
      <c r="K18" s="3386"/>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84"/>
      <c r="K19" s="3387"/>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4">
        <v>3</v>
      </c>
      <c r="K20" s="3385"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84"/>
      <c r="K21" s="3386"/>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84"/>
      <c r="K22" s="3386"/>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84"/>
      <c r="K23" s="3386"/>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84"/>
      <c r="K24" s="3387"/>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94">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9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77" t="s">
        <v>2310</v>
      </c>
      <c r="K32" s="3378"/>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79" t="s">
        <v>2320</v>
      </c>
      <c r="K33" s="3380"/>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79" t="s">
        <v>2322</v>
      </c>
      <c r="K34" s="338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84">
        <v>1</v>
      </c>
      <c r="K36" s="3385"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84"/>
      <c r="K37" s="3386"/>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4"/>
      <c r="K38" s="3386"/>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84"/>
      <c r="K39" s="3386"/>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84"/>
      <c r="K40" s="3387"/>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4">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9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33659</v>
      </c>
      <c r="C2" s="1728" t="s">
        <v>1651</v>
      </c>
      <c r="D2" s="1729" t="s">
        <v>1652</v>
      </c>
      <c r="E2" s="2392">
        <f>SUM(E6:E13)</f>
        <v>14139.199999999997</v>
      </c>
      <c r="F2" s="2479"/>
      <c r="G2" s="459"/>
      <c r="H2" s="459"/>
      <c r="I2" s="459"/>
      <c r="J2" s="459"/>
      <c r="K2" s="459"/>
      <c r="L2" s="459"/>
      <c r="M2" s="459"/>
      <c r="N2" s="459"/>
      <c r="O2" s="459"/>
      <c r="P2" s="459"/>
      <c r="Q2" s="459"/>
      <c r="R2" s="459"/>
      <c r="S2" s="459"/>
    </row>
    <row r="3" spans="1:22" ht="15.75">
      <c r="A3" s="1727" t="s">
        <v>686</v>
      </c>
      <c r="B3" s="2386">
        <f ca="1">ROUND(B2*10000/E2,0)</f>
        <v>23805</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96" t="s">
        <v>1654</v>
      </c>
      <c r="C5" s="3397"/>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33659</v>
      </c>
      <c r="C6" s="1728" t="s">
        <v>1651</v>
      </c>
      <c r="D6" s="2479"/>
      <c r="E6" s="2391">
        <f>IF(OR(A6=0,F6="否"),0,'数据-取费表'!K6+'数据-取费表'!S6)</f>
        <v>14139.199999999997</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14139.199999999997</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16" t="s">
        <v>1667</v>
      </c>
      <c r="D4" s="3417"/>
      <c r="E4" s="3418" t="s">
        <v>1668</v>
      </c>
      <c r="F4" s="3419"/>
      <c r="G4" s="3416" t="s">
        <v>1669</v>
      </c>
      <c r="H4" s="3417"/>
      <c r="I4" s="3416" t="s">
        <v>1670</v>
      </c>
      <c r="J4" s="3417"/>
      <c r="K4" s="1743" t="s">
        <v>1671</v>
      </c>
      <c r="L4" s="2486"/>
      <c r="M4" s="2487"/>
      <c r="N4" s="2487"/>
      <c r="O4" s="2487"/>
      <c r="P4" s="3420" t="s">
        <v>1672</v>
      </c>
      <c r="Q4" s="3421"/>
      <c r="R4" s="3403" t="s">
        <v>1668</v>
      </c>
      <c r="S4" s="3404"/>
      <c r="T4" s="3403" t="s">
        <v>1669</v>
      </c>
      <c r="U4" s="3404"/>
      <c r="V4" s="3428" t="s">
        <v>1670</v>
      </c>
      <c r="W4" s="3428"/>
      <c r="X4" s="1265"/>
      <c r="Y4" s="3403" t="s">
        <v>1672</v>
      </c>
      <c r="Z4" s="3404"/>
      <c r="AA4" s="3398" t="s">
        <v>1668</v>
      </c>
      <c r="AB4" s="3398" t="s">
        <v>1669</v>
      </c>
      <c r="AC4" s="3398" t="s">
        <v>1670</v>
      </c>
    </row>
    <row r="5" spans="1:29" ht="15">
      <c r="A5" s="348"/>
      <c r="B5" s="349"/>
      <c r="C5" s="3409" t="s">
        <v>1673</v>
      </c>
      <c r="D5" s="3410"/>
      <c r="E5" s="3407" t="s">
        <v>1674</v>
      </c>
      <c r="F5" s="3408"/>
      <c r="G5" s="3409" t="s">
        <v>1675</v>
      </c>
      <c r="H5" s="3410"/>
      <c r="I5" s="3409" t="s">
        <v>1676</v>
      </c>
      <c r="J5" s="3410"/>
      <c r="K5" s="1744"/>
      <c r="L5" s="2486"/>
      <c r="M5" s="2487"/>
      <c r="N5" s="2487"/>
      <c r="O5" s="2487"/>
      <c r="P5" s="3422"/>
      <c r="Q5" s="3423"/>
      <c r="R5" s="3405"/>
      <c r="S5" s="3406"/>
      <c r="T5" s="3405"/>
      <c r="U5" s="3406"/>
      <c r="V5" s="3428"/>
      <c r="W5" s="3428"/>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1744" t="s">
        <v>1678</v>
      </c>
      <c r="L6" s="2486"/>
      <c r="M6" s="2487"/>
      <c r="N6" s="2487"/>
      <c r="O6" s="2487"/>
      <c r="P6" s="3424"/>
      <c r="Q6" s="3425"/>
      <c r="R6" s="3405"/>
      <c r="S6" s="3406"/>
      <c r="T6" s="3426"/>
      <c r="U6" s="3427"/>
      <c r="V6" s="3428"/>
      <c r="W6" s="3428"/>
      <c r="X6" s="1265"/>
      <c r="Y6" s="3426"/>
      <c r="Z6" s="3427"/>
      <c r="AA6" s="3400"/>
      <c r="AB6" s="3400"/>
      <c r="AC6" s="3400"/>
    </row>
    <row r="7" spans="1:29" s="102" customFormat="1" ht="15.75" thickBot="1">
      <c r="A7" s="352" t="s">
        <v>1679</v>
      </c>
      <c r="B7" s="353"/>
      <c r="C7" s="354">
        <f>'数据-取费表'!B2</f>
        <v>45574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01" t="s">
        <v>1680</v>
      </c>
      <c r="Q7" s="3429"/>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15"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15"/>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5"/>
      <c r="Q11" s="530" t="str">
        <f t="shared" si="6"/>
        <v>容积率</v>
      </c>
      <c r="R11" s="664" t="s">
        <v>18</v>
      </c>
      <c r="S11" s="665" t="e">
        <f t="shared" si="0"/>
        <v>#N/A</v>
      </c>
      <c r="T11" s="664" t="s">
        <v>18</v>
      </c>
      <c r="U11" s="665" t="e">
        <f t="shared" si="1"/>
        <v>#N/A</v>
      </c>
      <c r="V11" s="664" t="s">
        <v>18</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15"/>
      <c r="Q12" s="530">
        <f t="shared" si="6"/>
        <v>111</v>
      </c>
      <c r="R12" s="664" t="s">
        <v>18</v>
      </c>
      <c r="S12" s="665">
        <f t="shared" si="0"/>
        <v>100</v>
      </c>
      <c r="T12" s="664" t="s">
        <v>18</v>
      </c>
      <c r="U12" s="665">
        <f t="shared" si="1"/>
        <v>100</v>
      </c>
      <c r="V12" s="664" t="s">
        <v>18</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15"/>
      <c r="Q13" s="530">
        <f t="shared" si="6"/>
        <v>111</v>
      </c>
      <c r="R13" s="664" t="s">
        <v>18</v>
      </c>
      <c r="S13" s="665">
        <f t="shared" si="0"/>
        <v>100</v>
      </c>
      <c r="T13" s="664" t="s">
        <v>18</v>
      </c>
      <c r="U13" s="665">
        <f t="shared" si="1"/>
        <v>100</v>
      </c>
      <c r="V13" s="664" t="s">
        <v>18</v>
      </c>
      <c r="W13" s="665">
        <f t="shared" si="2"/>
        <v>100</v>
      </c>
      <c r="X13" s="666"/>
      <c r="Y13" s="332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15"/>
      <c r="Q14" s="530">
        <f t="shared" si="6"/>
        <v>111</v>
      </c>
      <c r="R14" s="664" t="s">
        <v>18</v>
      </c>
      <c r="S14" s="665">
        <f t="shared" si="0"/>
        <v>100</v>
      </c>
      <c r="T14" s="664" t="s">
        <v>18</v>
      </c>
      <c r="U14" s="665">
        <f t="shared" si="1"/>
        <v>100</v>
      </c>
      <c r="V14" s="664" t="s">
        <v>18</v>
      </c>
      <c r="W14" s="665">
        <f t="shared" si="2"/>
        <v>100</v>
      </c>
      <c r="X14" s="666"/>
      <c r="Y14" s="3326"/>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1" t="s">
        <v>1691</v>
      </c>
      <c r="Q15" s="1263" t="str">
        <f t="shared" si="6"/>
        <v>居住社区成熟度</v>
      </c>
      <c r="R15" s="667" t="s">
        <v>18</v>
      </c>
      <c r="S15" s="668">
        <f t="shared" si="0"/>
        <v>100</v>
      </c>
      <c r="T15" s="667" t="s">
        <v>18</v>
      </c>
      <c r="U15" s="668">
        <f t="shared" si="1"/>
        <v>100</v>
      </c>
      <c r="V15" s="667" t="s">
        <v>18</v>
      </c>
      <c r="W15" s="668">
        <f t="shared" si="2"/>
        <v>100</v>
      </c>
      <c r="X15" s="1265"/>
      <c r="Y15" s="3434"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42"/>
      <c r="Q16" s="1263"/>
      <c r="R16" s="667"/>
      <c r="S16" s="668"/>
      <c r="T16" s="667"/>
      <c r="U16" s="668"/>
      <c r="V16" s="667"/>
      <c r="W16" s="668"/>
      <c r="X16" s="1265"/>
      <c r="Y16" s="3435"/>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2"/>
      <c r="Q17" s="1263" t="str">
        <f>B17</f>
        <v>交通便捷度</v>
      </c>
      <c r="R17" s="667" t="s">
        <v>18</v>
      </c>
      <c r="S17" s="668">
        <f>F17</f>
        <v>100</v>
      </c>
      <c r="T17" s="667" t="s">
        <v>18</v>
      </c>
      <c r="U17" s="668">
        <f>H17</f>
        <v>100</v>
      </c>
      <c r="V17" s="667" t="s">
        <v>18</v>
      </c>
      <c r="W17" s="668">
        <f>J17</f>
        <v>100</v>
      </c>
      <c r="X17" s="1265"/>
      <c r="Y17" s="3435"/>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42"/>
      <c r="Q18" s="1263"/>
      <c r="R18" s="667"/>
      <c r="S18" s="668"/>
      <c r="T18" s="667"/>
      <c r="U18" s="668"/>
      <c r="V18" s="667"/>
      <c r="W18" s="668"/>
      <c r="X18" s="1265"/>
      <c r="Y18" s="3435"/>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2"/>
      <c r="Q19" s="1263" t="str">
        <f>B19</f>
        <v>公共配套设施</v>
      </c>
      <c r="R19" s="667" t="s">
        <v>18</v>
      </c>
      <c r="S19" s="668">
        <f>F19</f>
        <v>100</v>
      </c>
      <c r="T19" s="667" t="s">
        <v>18</v>
      </c>
      <c r="U19" s="668">
        <f>H19</f>
        <v>100</v>
      </c>
      <c r="V19" s="667" t="s">
        <v>18</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42"/>
      <c r="Q20" s="1263"/>
      <c r="R20" s="667"/>
      <c r="S20" s="668"/>
      <c r="T20" s="667"/>
      <c r="U20" s="668"/>
      <c r="V20" s="667"/>
      <c r="W20" s="668"/>
      <c r="X20" s="1265"/>
      <c r="Y20" s="3435"/>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42"/>
      <c r="Q22" s="1263"/>
      <c r="R22" s="667"/>
      <c r="S22" s="668"/>
      <c r="T22" s="667"/>
      <c r="U22" s="668"/>
      <c r="V22" s="667"/>
      <c r="W22" s="668"/>
      <c r="X22" s="1265"/>
      <c r="Y22" s="3435"/>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2"/>
      <c r="Q23" s="1263" t="str">
        <f>B23</f>
        <v>自然及人文环境</v>
      </c>
      <c r="R23" s="667" t="s">
        <v>18</v>
      </c>
      <c r="S23" s="668">
        <f>F23</f>
        <v>100</v>
      </c>
      <c r="T23" s="667" t="s">
        <v>18</v>
      </c>
      <c r="U23" s="668">
        <f>H23</f>
        <v>100</v>
      </c>
      <c r="V23" s="667" t="s">
        <v>18</v>
      </c>
      <c r="W23" s="668">
        <f>J23</f>
        <v>100</v>
      </c>
      <c r="X23" s="1265"/>
      <c r="Y23" s="3435"/>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42"/>
      <c r="Q24" s="1263"/>
      <c r="R24" s="667"/>
      <c r="S24" s="668"/>
      <c r="T24" s="667"/>
      <c r="U24" s="668"/>
      <c r="V24" s="667"/>
      <c r="W24" s="668"/>
      <c r="X24" s="1265"/>
      <c r="Y24" s="3435"/>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4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42"/>
      <c r="Q26" s="1263" t="str">
        <f t="shared" si="11"/>
        <v>朝向</v>
      </c>
      <c r="R26" s="667" t="s">
        <v>18</v>
      </c>
      <c r="S26" s="668">
        <f t="shared" si="12"/>
        <v>100</v>
      </c>
      <c r="T26" s="667" t="s">
        <v>18</v>
      </c>
      <c r="U26" s="668">
        <f t="shared" si="13"/>
        <v>100</v>
      </c>
      <c r="V26" s="667" t="s">
        <v>18</v>
      </c>
      <c r="W26" s="668">
        <f t="shared" si="14"/>
        <v>100</v>
      </c>
      <c r="X26" s="1265"/>
      <c r="Y26" s="343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42"/>
      <c r="Q27" s="530">
        <f t="shared" si="11"/>
        <v>111</v>
      </c>
      <c r="R27" s="664" t="s">
        <v>18</v>
      </c>
      <c r="S27" s="665">
        <f t="shared" si="12"/>
        <v>100</v>
      </c>
      <c r="T27" s="664" t="s">
        <v>18</v>
      </c>
      <c r="U27" s="665">
        <f t="shared" si="13"/>
        <v>100</v>
      </c>
      <c r="V27" s="664" t="s">
        <v>18</v>
      </c>
      <c r="W27" s="665">
        <f t="shared" si="14"/>
        <v>100</v>
      </c>
      <c r="X27" s="666"/>
      <c r="Y27" s="343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42"/>
      <c r="Q28" s="1263">
        <f t="shared" si="11"/>
        <v>111</v>
      </c>
      <c r="R28" s="667" t="s">
        <v>18</v>
      </c>
      <c r="S28" s="668">
        <f t="shared" si="12"/>
        <v>100</v>
      </c>
      <c r="T28" s="667" t="s">
        <v>18</v>
      </c>
      <c r="U28" s="668">
        <f t="shared" si="13"/>
        <v>100</v>
      </c>
      <c r="V28" s="667" t="s">
        <v>18</v>
      </c>
      <c r="W28" s="668">
        <f t="shared" si="14"/>
        <v>100</v>
      </c>
      <c r="X28" s="1265"/>
      <c r="Y28" s="343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42"/>
      <c r="Q29" s="1263">
        <f t="shared" si="11"/>
        <v>111</v>
      </c>
      <c r="R29" s="667" t="s">
        <v>18</v>
      </c>
      <c r="S29" s="668">
        <f t="shared" si="12"/>
        <v>100</v>
      </c>
      <c r="T29" s="667" t="s">
        <v>18</v>
      </c>
      <c r="U29" s="668">
        <f t="shared" si="13"/>
        <v>100</v>
      </c>
      <c r="V29" s="667" t="s">
        <v>18</v>
      </c>
      <c r="W29" s="668">
        <f t="shared" si="14"/>
        <v>100</v>
      </c>
      <c r="X29" s="1265"/>
      <c r="Y29" s="343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42"/>
      <c r="Q30" s="1263">
        <f t="shared" si="11"/>
        <v>111</v>
      </c>
      <c r="R30" s="667" t="s">
        <v>18</v>
      </c>
      <c r="S30" s="668">
        <f t="shared" si="12"/>
        <v>100</v>
      </c>
      <c r="T30" s="667" t="s">
        <v>18</v>
      </c>
      <c r="U30" s="668">
        <f t="shared" si="13"/>
        <v>100</v>
      </c>
      <c r="V30" s="667" t="s">
        <v>18</v>
      </c>
      <c r="W30" s="668">
        <f t="shared" si="14"/>
        <v>100</v>
      </c>
      <c r="X30" s="1265"/>
      <c r="Y30" s="343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42"/>
      <c r="Q31" s="1263">
        <f t="shared" si="11"/>
        <v>111</v>
      </c>
      <c r="R31" s="667" t="s">
        <v>18</v>
      </c>
      <c r="S31" s="668">
        <f t="shared" si="12"/>
        <v>100</v>
      </c>
      <c r="T31" s="667" t="s">
        <v>18</v>
      </c>
      <c r="U31" s="668">
        <f t="shared" si="13"/>
        <v>100</v>
      </c>
      <c r="V31" s="667" t="s">
        <v>18</v>
      </c>
      <c r="W31" s="668">
        <f t="shared" si="14"/>
        <v>100</v>
      </c>
      <c r="X31" s="1265"/>
      <c r="Y31" s="3435"/>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36" t="s">
        <v>1696</v>
      </c>
      <c r="Q32" s="1263" t="str">
        <f t="shared" si="11"/>
        <v>建筑类型</v>
      </c>
      <c r="R32" s="667" t="s">
        <v>18</v>
      </c>
      <c r="S32" s="668">
        <f t="shared" si="12"/>
        <v>100</v>
      </c>
      <c r="T32" s="667" t="s">
        <v>18</v>
      </c>
      <c r="U32" s="668">
        <f t="shared" si="13"/>
        <v>100</v>
      </c>
      <c r="V32" s="667" t="s">
        <v>18</v>
      </c>
      <c r="W32" s="668">
        <f t="shared" si="14"/>
        <v>100</v>
      </c>
      <c r="X32" s="1265"/>
      <c r="Y32" s="343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37"/>
      <c r="Q33" s="531" t="str">
        <f t="shared" si="11"/>
        <v>项目建筑规模</v>
      </c>
      <c r="R33" s="669" t="s">
        <v>18</v>
      </c>
      <c r="S33" s="670" t="e">
        <f t="shared" si="12"/>
        <v>#N/A</v>
      </c>
      <c r="T33" s="669" t="s">
        <v>18</v>
      </c>
      <c r="U33" s="670" t="e">
        <f t="shared" si="13"/>
        <v>#N/A</v>
      </c>
      <c r="V33" s="669" t="s">
        <v>18</v>
      </c>
      <c r="W33" s="670" t="e">
        <f t="shared" si="14"/>
        <v>#N/A</v>
      </c>
      <c r="X33" s="671"/>
      <c r="Y33" s="3439"/>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37"/>
      <c r="Q34" s="1263" t="str">
        <f t="shared" si="11"/>
        <v>建筑结构</v>
      </c>
      <c r="R34" s="667" t="s">
        <v>18</v>
      </c>
      <c r="S34" s="668">
        <f t="shared" si="12"/>
        <v>100</v>
      </c>
      <c r="T34" s="667" t="s">
        <v>18</v>
      </c>
      <c r="U34" s="668">
        <f t="shared" si="13"/>
        <v>100</v>
      </c>
      <c r="V34" s="667" t="s">
        <v>18</v>
      </c>
      <c r="W34" s="668">
        <f t="shared" si="14"/>
        <v>100</v>
      </c>
      <c r="X34" s="1265"/>
      <c r="Y34" s="3439"/>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37"/>
      <c r="Q35" s="1263" t="str">
        <f t="shared" si="11"/>
        <v>建筑品质</v>
      </c>
      <c r="R35" s="667" t="s">
        <v>18</v>
      </c>
      <c r="S35" s="668">
        <f t="shared" si="12"/>
        <v>100</v>
      </c>
      <c r="T35" s="667" t="s">
        <v>18</v>
      </c>
      <c r="U35" s="668">
        <f t="shared" si="13"/>
        <v>100</v>
      </c>
      <c r="V35" s="667" t="s">
        <v>18</v>
      </c>
      <c r="W35" s="668">
        <f t="shared" si="14"/>
        <v>100</v>
      </c>
      <c r="X35" s="1265"/>
      <c r="Y35" s="3439"/>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37"/>
      <c r="Q36" s="1263" t="str">
        <f t="shared" si="11"/>
        <v>公共部分装修</v>
      </c>
      <c r="R36" s="667" t="s">
        <v>18</v>
      </c>
      <c r="S36" s="668">
        <f t="shared" si="12"/>
        <v>100</v>
      </c>
      <c r="T36" s="667" t="s">
        <v>18</v>
      </c>
      <c r="U36" s="668">
        <f t="shared" si="13"/>
        <v>100</v>
      </c>
      <c r="V36" s="667" t="s">
        <v>18</v>
      </c>
      <c r="W36" s="668">
        <f t="shared" si="14"/>
        <v>100</v>
      </c>
      <c r="X36" s="1265"/>
      <c r="Y36" s="343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37"/>
      <c r="Q37" s="530" t="str">
        <f t="shared" si="11"/>
        <v>成新度</v>
      </c>
      <c r="R37" s="664" t="s">
        <v>18</v>
      </c>
      <c r="S37" s="665" t="e">
        <f t="shared" si="12"/>
        <v>#N/A</v>
      </c>
      <c r="T37" s="664" t="s">
        <v>18</v>
      </c>
      <c r="U37" s="665" t="e">
        <f t="shared" si="13"/>
        <v>#N/A</v>
      </c>
      <c r="V37" s="664" t="s">
        <v>18</v>
      </c>
      <c r="W37" s="665" t="e">
        <f t="shared" si="14"/>
        <v>#N/A</v>
      </c>
      <c r="X37" s="666"/>
      <c r="Y37" s="343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37" t="s">
        <v>1696</v>
      </c>
      <c r="Q38" s="1263" t="str">
        <f t="shared" si="11"/>
        <v>物业管理</v>
      </c>
      <c r="R38" s="667" t="s">
        <v>18</v>
      </c>
      <c r="S38" s="668">
        <f t="shared" si="12"/>
        <v>100</v>
      </c>
      <c r="T38" s="667" t="s">
        <v>18</v>
      </c>
      <c r="U38" s="668">
        <f t="shared" si="13"/>
        <v>100</v>
      </c>
      <c r="V38" s="667" t="s">
        <v>18</v>
      </c>
      <c r="W38" s="668">
        <f t="shared" si="14"/>
        <v>100</v>
      </c>
      <c r="X38" s="1265"/>
      <c r="Y38" s="3439"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37"/>
      <c r="Q39" s="1263" t="str">
        <f t="shared" si="11"/>
        <v>市政基础设施</v>
      </c>
      <c r="R39" s="667" t="s">
        <v>18</v>
      </c>
      <c r="S39" s="668">
        <f t="shared" si="12"/>
        <v>100</v>
      </c>
      <c r="T39" s="667" t="s">
        <v>18</v>
      </c>
      <c r="U39" s="668">
        <f t="shared" si="13"/>
        <v>100</v>
      </c>
      <c r="V39" s="667" t="s">
        <v>18</v>
      </c>
      <c r="W39" s="668">
        <f t="shared" si="14"/>
        <v>100</v>
      </c>
      <c r="X39" s="1265"/>
      <c r="Y39" s="3439"/>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37"/>
      <c r="Q40" s="1263" t="str">
        <f t="shared" si="11"/>
        <v>房型</v>
      </c>
      <c r="R40" s="667" t="s">
        <v>18</v>
      </c>
      <c r="S40" s="668">
        <f t="shared" si="12"/>
        <v>100</v>
      </c>
      <c r="T40" s="667" t="s">
        <v>18</v>
      </c>
      <c r="U40" s="668">
        <f t="shared" si="13"/>
        <v>100</v>
      </c>
      <c r="V40" s="667" t="s">
        <v>18</v>
      </c>
      <c r="W40" s="668">
        <f t="shared" si="14"/>
        <v>100</v>
      </c>
      <c r="X40" s="1265"/>
      <c r="Y40" s="343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37"/>
      <c r="Q41" s="531" t="str">
        <f t="shared" si="11"/>
        <v>单套/主力户型建筑面积</v>
      </c>
      <c r="R41" s="669" t="s">
        <v>18</v>
      </c>
      <c r="S41" s="670">
        <f t="shared" si="12"/>
        <v>100</v>
      </c>
      <c r="T41" s="669" t="s">
        <v>18</v>
      </c>
      <c r="U41" s="670">
        <f t="shared" si="13"/>
        <v>100</v>
      </c>
      <c r="V41" s="669" t="s">
        <v>18</v>
      </c>
      <c r="W41" s="670">
        <f t="shared" si="14"/>
        <v>100</v>
      </c>
      <c r="X41" s="671"/>
      <c r="Y41" s="3439"/>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37"/>
      <c r="Q42" s="1263" t="str">
        <f t="shared" si="11"/>
        <v>内部装修</v>
      </c>
      <c r="R42" s="667" t="s">
        <v>18</v>
      </c>
      <c r="S42" s="668">
        <f t="shared" si="12"/>
        <v>100</v>
      </c>
      <c r="T42" s="667" t="s">
        <v>18</v>
      </c>
      <c r="U42" s="668">
        <f t="shared" si="13"/>
        <v>100</v>
      </c>
      <c r="V42" s="667" t="s">
        <v>18</v>
      </c>
      <c r="W42" s="668">
        <f t="shared" si="14"/>
        <v>100</v>
      </c>
      <c r="X42" s="1265"/>
      <c r="Y42" s="3439"/>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37"/>
      <c r="Q43" s="1263" t="str">
        <f t="shared" si="11"/>
        <v>内部装修维护情况</v>
      </c>
      <c r="R43" s="667" t="s">
        <v>18</v>
      </c>
      <c r="S43" s="668">
        <f t="shared" si="12"/>
        <v>100</v>
      </c>
      <c r="T43" s="667" t="s">
        <v>18</v>
      </c>
      <c r="U43" s="668">
        <f t="shared" si="13"/>
        <v>100</v>
      </c>
      <c r="V43" s="667" t="s">
        <v>18</v>
      </c>
      <c r="W43" s="668">
        <f t="shared" si="14"/>
        <v>100</v>
      </c>
      <c r="X43" s="1265"/>
      <c r="Y43" s="343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37"/>
      <c r="Q44" s="530">
        <f t="shared" si="11"/>
        <v>111</v>
      </c>
      <c r="R44" s="664" t="s">
        <v>18</v>
      </c>
      <c r="S44" s="665">
        <f t="shared" si="12"/>
        <v>100</v>
      </c>
      <c r="T44" s="664" t="s">
        <v>18</v>
      </c>
      <c r="U44" s="665">
        <f t="shared" si="13"/>
        <v>100</v>
      </c>
      <c r="V44" s="664" t="s">
        <v>18</v>
      </c>
      <c r="W44" s="665">
        <f t="shared" si="14"/>
        <v>100</v>
      </c>
      <c r="X44" s="666"/>
      <c r="Y44" s="343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37"/>
      <c r="Q45" s="1263">
        <f t="shared" si="11"/>
        <v>111</v>
      </c>
      <c r="R45" s="667" t="s">
        <v>18</v>
      </c>
      <c r="S45" s="668">
        <f t="shared" si="12"/>
        <v>100</v>
      </c>
      <c r="T45" s="667" t="s">
        <v>18</v>
      </c>
      <c r="U45" s="668">
        <f t="shared" si="13"/>
        <v>100</v>
      </c>
      <c r="V45" s="667" t="s">
        <v>18</v>
      </c>
      <c r="W45" s="668">
        <f t="shared" si="14"/>
        <v>100</v>
      </c>
      <c r="X45" s="1265"/>
      <c r="Y45" s="3439"/>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38"/>
      <c r="Q46" s="1263">
        <f t="shared" si="11"/>
        <v>111</v>
      </c>
      <c r="R46" s="667" t="s">
        <v>17</v>
      </c>
      <c r="S46" s="668">
        <f t="shared" si="12"/>
        <v>100</v>
      </c>
      <c r="T46" s="667" t="s">
        <v>17</v>
      </c>
      <c r="U46" s="668">
        <f t="shared" si="13"/>
        <v>100</v>
      </c>
      <c r="V46" s="667" t="s">
        <v>17</v>
      </c>
      <c r="W46" s="668">
        <f t="shared" si="14"/>
        <v>100</v>
      </c>
      <c r="X46" s="1265"/>
      <c r="Y46" s="344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433" t="str">
        <f>A47</f>
        <v>成交单价（元/平方米）</v>
      </c>
      <c r="Q47" s="3433"/>
      <c r="R47" s="3428">
        <f>E47</f>
        <v>0</v>
      </c>
      <c r="S47" s="3428"/>
      <c r="T47" s="3428">
        <f>G47</f>
        <v>0</v>
      </c>
      <c r="U47" s="3428"/>
      <c r="V47" s="3428">
        <f>I47</f>
        <v>0</v>
      </c>
      <c r="W47" s="3428"/>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33" t="str">
        <f>A48</f>
        <v>比较价值（元/平方米）</v>
      </c>
      <c r="Q48" s="3433"/>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14139.199999999997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16" t="s">
        <v>1770</v>
      </c>
      <c r="D4" s="3417"/>
      <c r="E4" s="3418" t="s">
        <v>1771</v>
      </c>
      <c r="F4" s="3419"/>
      <c r="G4" s="3416" t="s">
        <v>1772</v>
      </c>
      <c r="H4" s="3417"/>
      <c r="I4" s="3416" t="s">
        <v>1773</v>
      </c>
      <c r="J4" s="3417"/>
      <c r="K4" s="537" t="s">
        <v>1774</v>
      </c>
      <c r="L4" s="2486"/>
      <c r="M4" s="2487"/>
      <c r="N4" s="2487"/>
      <c r="O4" s="2487"/>
      <c r="P4" s="3420" t="s">
        <v>1775</v>
      </c>
      <c r="Q4" s="3421"/>
      <c r="R4" s="3403" t="s">
        <v>1771</v>
      </c>
      <c r="S4" s="3404"/>
      <c r="T4" s="3403" t="s">
        <v>1772</v>
      </c>
      <c r="U4" s="3404"/>
      <c r="V4" s="3428" t="s">
        <v>1773</v>
      </c>
      <c r="W4" s="3428"/>
      <c r="X4" s="1265"/>
      <c r="Y4" s="3403" t="s">
        <v>1775</v>
      </c>
      <c r="Z4" s="3404"/>
      <c r="AA4" s="3398" t="s">
        <v>1771</v>
      </c>
      <c r="AB4" s="3428" t="s">
        <v>1772</v>
      </c>
      <c r="AC4" s="3398" t="s">
        <v>1773</v>
      </c>
    </row>
    <row r="5" spans="1:29" ht="15">
      <c r="A5" s="348"/>
      <c r="B5" s="349"/>
      <c r="C5" s="3409" t="s">
        <v>1673</v>
      </c>
      <c r="D5" s="3410"/>
      <c r="E5" s="3407" t="s">
        <v>1674</v>
      </c>
      <c r="F5" s="3408"/>
      <c r="G5" s="3409" t="s">
        <v>1675</v>
      </c>
      <c r="H5" s="3410"/>
      <c r="I5" s="3409" t="s">
        <v>1676</v>
      </c>
      <c r="J5" s="3410"/>
      <c r="K5" s="537"/>
      <c r="L5" s="2486"/>
      <c r="M5" s="2487"/>
      <c r="N5" s="2487"/>
      <c r="O5" s="2487"/>
      <c r="P5" s="3422"/>
      <c r="Q5" s="3423"/>
      <c r="R5" s="3405"/>
      <c r="S5" s="3406"/>
      <c r="T5" s="3405"/>
      <c r="U5" s="3406"/>
      <c r="V5" s="3428"/>
      <c r="W5" s="3428"/>
      <c r="X5" s="1265"/>
      <c r="Y5" s="3405"/>
      <c r="Z5" s="3406"/>
      <c r="AA5" s="3399"/>
      <c r="AB5" s="3428"/>
      <c r="AC5" s="3399"/>
    </row>
    <row r="6" spans="1:29" ht="15.75" thickBot="1">
      <c r="A6" s="350"/>
      <c r="B6" s="351"/>
      <c r="C6" s="3411" t="s">
        <v>1677</v>
      </c>
      <c r="D6" s="3412"/>
      <c r="E6" s="3413" t="s">
        <v>1677</v>
      </c>
      <c r="F6" s="3414"/>
      <c r="G6" s="3411" t="s">
        <v>1677</v>
      </c>
      <c r="H6" s="3412"/>
      <c r="I6" s="3411" t="s">
        <v>1677</v>
      </c>
      <c r="J6" s="3412"/>
      <c r="K6" s="537" t="s">
        <v>1678</v>
      </c>
      <c r="L6" s="2486"/>
      <c r="M6" s="2487"/>
      <c r="N6" s="2487"/>
      <c r="O6" s="2487"/>
      <c r="P6" s="3424"/>
      <c r="Q6" s="3425"/>
      <c r="R6" s="3405"/>
      <c r="S6" s="3406"/>
      <c r="T6" s="3426"/>
      <c r="U6" s="3427"/>
      <c r="V6" s="3428"/>
      <c r="W6" s="3428"/>
      <c r="X6" s="1265"/>
      <c r="Y6" s="3426"/>
      <c r="Z6" s="3427"/>
      <c r="AA6" s="3400"/>
      <c r="AB6" s="3428"/>
      <c r="AC6" s="3400"/>
    </row>
    <row r="7" spans="1:29" s="102" customFormat="1" ht="15.75" thickBot="1">
      <c r="A7" s="352" t="s">
        <v>1679</v>
      </c>
      <c r="B7" s="353"/>
      <c r="C7" s="354">
        <f>'数据-取费表'!B2</f>
        <v>45574</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1" t="s">
        <v>1680</v>
      </c>
      <c r="Q7" s="3429"/>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15"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5"/>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5"/>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15"/>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5"/>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5"/>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1" t="s">
        <v>1691</v>
      </c>
      <c r="Q15" s="1263" t="str">
        <f t="shared" si="6"/>
        <v>商业繁华度</v>
      </c>
      <c r="R15" s="667" t="s">
        <v>14</v>
      </c>
      <c r="S15" s="668">
        <f t="shared" si="0"/>
        <v>100</v>
      </c>
      <c r="T15" s="667" t="s">
        <v>14</v>
      </c>
      <c r="U15" s="668">
        <f t="shared" si="1"/>
        <v>100</v>
      </c>
      <c r="V15" s="667" t="s">
        <v>14</v>
      </c>
      <c r="W15" s="668">
        <f t="shared" si="2"/>
        <v>100</v>
      </c>
      <c r="X15" s="1265"/>
      <c r="Y15" s="343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42"/>
      <c r="Q16" s="1263"/>
      <c r="R16" s="667"/>
      <c r="S16" s="668"/>
      <c r="T16" s="667"/>
      <c r="U16" s="668"/>
      <c r="V16" s="667"/>
      <c r="W16" s="668"/>
      <c r="X16" s="1265"/>
      <c r="Y16" s="3435"/>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2"/>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42"/>
      <c r="Q18" s="1263"/>
      <c r="R18" s="667"/>
      <c r="S18" s="668"/>
      <c r="T18" s="667"/>
      <c r="U18" s="668"/>
      <c r="V18" s="667"/>
      <c r="W18" s="668"/>
      <c r="X18" s="1265"/>
      <c r="Y18" s="3435"/>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2"/>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42"/>
      <c r="Q20" s="1263"/>
      <c r="R20" s="667"/>
      <c r="S20" s="668"/>
      <c r="T20" s="667"/>
      <c r="U20" s="668"/>
      <c r="V20" s="667"/>
      <c r="W20" s="668"/>
      <c r="X20" s="1265"/>
      <c r="Y20" s="3435"/>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42"/>
      <c r="Q22" s="1263"/>
      <c r="R22" s="667"/>
      <c r="S22" s="668"/>
      <c r="T22" s="667"/>
      <c r="U22" s="668"/>
      <c r="V22" s="667"/>
      <c r="W22" s="668"/>
      <c r="X22" s="1265"/>
      <c r="Y22" s="3435"/>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2"/>
      <c r="Q23" s="1263" t="str">
        <f>B23</f>
        <v>自然及人文环境</v>
      </c>
      <c r="R23" s="667" t="s">
        <v>14</v>
      </c>
      <c r="S23" s="668">
        <f>F23</f>
        <v>100</v>
      </c>
      <c r="T23" s="667" t="s">
        <v>14</v>
      </c>
      <c r="U23" s="668">
        <f>H23</f>
        <v>100</v>
      </c>
      <c r="V23" s="667" t="s">
        <v>14</v>
      </c>
      <c r="W23" s="668">
        <f>J23</f>
        <v>100</v>
      </c>
      <c r="X23" s="1265"/>
      <c r="Y23" s="3435"/>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42"/>
      <c r="Q24" s="1263"/>
      <c r="R24" s="667"/>
      <c r="S24" s="668"/>
      <c r="T24" s="667"/>
      <c r="U24" s="668"/>
      <c r="V24" s="667"/>
      <c r="W24" s="668"/>
      <c r="X24" s="1265"/>
      <c r="Y24" s="343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2"/>
      <c r="Q25" s="1263" t="str">
        <f t="shared" ref="Q25:Q46" si="11">B25</f>
        <v>临街状况</v>
      </c>
      <c r="R25" s="667" t="s">
        <v>14</v>
      </c>
      <c r="S25" s="668">
        <f>F25</f>
        <v>100</v>
      </c>
      <c r="T25" s="667" t="s">
        <v>14</v>
      </c>
      <c r="U25" s="668">
        <f>H25</f>
        <v>100</v>
      </c>
      <c r="V25" s="667" t="s">
        <v>14</v>
      </c>
      <c r="W25" s="668">
        <f>J25</f>
        <v>100</v>
      </c>
      <c r="X25" s="1265"/>
      <c r="Y25" s="343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2"/>
      <c r="Q26" s="1263" t="str">
        <f t="shared" si="11"/>
        <v>平面位置/可视性</v>
      </c>
      <c r="R26" s="667" t="s">
        <v>14</v>
      </c>
      <c r="S26" s="668">
        <f>F26</f>
        <v>100</v>
      </c>
      <c r="T26" s="667" t="s">
        <v>14</v>
      </c>
      <c r="U26" s="668">
        <f>H26</f>
        <v>100</v>
      </c>
      <c r="V26" s="667" t="s">
        <v>14</v>
      </c>
      <c r="W26" s="668">
        <f>J26</f>
        <v>100</v>
      </c>
      <c r="X26" s="1265"/>
      <c r="Y26" s="3435"/>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42"/>
      <c r="Q27" s="530" t="str">
        <f t="shared" si="11"/>
        <v>人流量</v>
      </c>
      <c r="R27" s="664" t="s">
        <v>14</v>
      </c>
      <c r="S27" s="665">
        <f>F27</f>
        <v>100</v>
      </c>
      <c r="T27" s="664" t="s">
        <v>14</v>
      </c>
      <c r="U27" s="665">
        <f>H27</f>
        <v>100</v>
      </c>
      <c r="V27" s="664" t="s">
        <v>14</v>
      </c>
      <c r="W27" s="665">
        <f>J27</f>
        <v>100</v>
      </c>
      <c r="X27" s="666"/>
      <c r="Y27" s="343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2"/>
      <c r="Q29" s="1263">
        <f t="shared" si="11"/>
        <v>111</v>
      </c>
      <c r="R29" s="667" t="s">
        <v>14</v>
      </c>
      <c r="S29" s="668">
        <f t="shared" si="12"/>
        <v>100</v>
      </c>
      <c r="T29" s="667" t="s">
        <v>14</v>
      </c>
      <c r="U29" s="668">
        <f t="shared" si="13"/>
        <v>100</v>
      </c>
      <c r="V29" s="667" t="s">
        <v>14</v>
      </c>
      <c r="W29" s="668">
        <f t="shared" si="14"/>
        <v>100</v>
      </c>
      <c r="X29" s="1265"/>
      <c r="Y29" s="343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2"/>
      <c r="Q30" s="1263">
        <f t="shared" si="11"/>
        <v>111</v>
      </c>
      <c r="R30" s="667" t="s">
        <v>14</v>
      </c>
      <c r="S30" s="668">
        <f t="shared" si="12"/>
        <v>100</v>
      </c>
      <c r="T30" s="667" t="s">
        <v>14</v>
      </c>
      <c r="U30" s="668">
        <f t="shared" si="13"/>
        <v>100</v>
      </c>
      <c r="V30" s="667" t="s">
        <v>14</v>
      </c>
      <c r="W30" s="668">
        <f t="shared" si="14"/>
        <v>100</v>
      </c>
      <c r="X30" s="1265"/>
      <c r="Y30" s="343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2"/>
      <c r="Q31" s="1263">
        <f t="shared" si="11"/>
        <v>111</v>
      </c>
      <c r="R31" s="667" t="s">
        <v>14</v>
      </c>
      <c r="S31" s="668">
        <f t="shared" si="12"/>
        <v>100</v>
      </c>
      <c r="T31" s="667" t="s">
        <v>14</v>
      </c>
      <c r="U31" s="668">
        <f t="shared" si="13"/>
        <v>100</v>
      </c>
      <c r="V31" s="667" t="s">
        <v>14</v>
      </c>
      <c r="W31" s="668">
        <f t="shared" si="14"/>
        <v>100</v>
      </c>
      <c r="X31" s="1265"/>
      <c r="Y31" s="343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36" t="s">
        <v>1696</v>
      </c>
      <c r="Q32" s="1263" t="str">
        <f t="shared" si="11"/>
        <v>商业类型</v>
      </c>
      <c r="R32" s="667" t="s">
        <v>14</v>
      </c>
      <c r="S32" s="668">
        <f t="shared" si="12"/>
        <v>100</v>
      </c>
      <c r="T32" s="667" t="s">
        <v>14</v>
      </c>
      <c r="U32" s="668">
        <f t="shared" si="13"/>
        <v>100</v>
      </c>
      <c r="V32" s="667" t="s">
        <v>14</v>
      </c>
      <c r="W32" s="668">
        <f t="shared" si="14"/>
        <v>100</v>
      </c>
      <c r="X32" s="1265"/>
      <c r="Y32" s="343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7"/>
      <c r="Q33" s="531" t="str">
        <f t="shared" si="11"/>
        <v>项目建筑规模</v>
      </c>
      <c r="R33" s="669" t="s">
        <v>14</v>
      </c>
      <c r="S33" s="670" t="e">
        <f t="shared" si="12"/>
        <v>#N/A</v>
      </c>
      <c r="T33" s="669" t="s">
        <v>14</v>
      </c>
      <c r="U33" s="670" t="e">
        <f t="shared" si="13"/>
        <v>#N/A</v>
      </c>
      <c r="V33" s="669" t="s">
        <v>14</v>
      </c>
      <c r="W33" s="670" t="e">
        <f t="shared" si="14"/>
        <v>#N/A</v>
      </c>
      <c r="X33" s="671"/>
      <c r="Y33" s="343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7"/>
      <c r="Q34" s="1263" t="str">
        <f t="shared" si="11"/>
        <v>建筑结构</v>
      </c>
      <c r="R34" s="667" t="s">
        <v>14</v>
      </c>
      <c r="S34" s="668">
        <f t="shared" si="12"/>
        <v>100</v>
      </c>
      <c r="T34" s="667" t="s">
        <v>14</v>
      </c>
      <c r="U34" s="668">
        <f t="shared" si="13"/>
        <v>100</v>
      </c>
      <c r="V34" s="667" t="s">
        <v>14</v>
      </c>
      <c r="W34" s="668">
        <f t="shared" si="14"/>
        <v>100</v>
      </c>
      <c r="X34" s="1265"/>
      <c r="Y34" s="3439"/>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37"/>
      <c r="Q35" s="1263" t="str">
        <f t="shared" si="11"/>
        <v>公共部分装修</v>
      </c>
      <c r="R35" s="667" t="s">
        <v>14</v>
      </c>
      <c r="S35" s="668">
        <f t="shared" si="12"/>
        <v>100</v>
      </c>
      <c r="T35" s="667" t="s">
        <v>14</v>
      </c>
      <c r="U35" s="668">
        <f t="shared" si="13"/>
        <v>100</v>
      </c>
      <c r="V35" s="667" t="s">
        <v>14</v>
      </c>
      <c r="W35" s="668">
        <f t="shared" si="14"/>
        <v>100</v>
      </c>
      <c r="X35" s="1265"/>
      <c r="Y35" s="343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7"/>
      <c r="Q36" s="1263" t="str">
        <f t="shared" si="11"/>
        <v>成新度</v>
      </c>
      <c r="R36" s="667" t="s">
        <v>14</v>
      </c>
      <c r="S36" s="668" t="e">
        <f t="shared" si="12"/>
        <v>#N/A</v>
      </c>
      <c r="T36" s="667" t="s">
        <v>14</v>
      </c>
      <c r="U36" s="668" t="e">
        <f t="shared" si="13"/>
        <v>#N/A</v>
      </c>
      <c r="V36" s="667" t="s">
        <v>14</v>
      </c>
      <c r="W36" s="668" t="e">
        <f t="shared" si="14"/>
        <v>#N/A</v>
      </c>
      <c r="X36" s="1265"/>
      <c r="Y36" s="3439"/>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37"/>
      <c r="Q37" s="530" t="str">
        <f t="shared" si="11"/>
        <v>市政基础设施</v>
      </c>
      <c r="R37" s="664" t="s">
        <v>14</v>
      </c>
      <c r="S37" s="665">
        <f t="shared" si="12"/>
        <v>100</v>
      </c>
      <c r="T37" s="664" t="s">
        <v>14</v>
      </c>
      <c r="U37" s="665">
        <f t="shared" si="13"/>
        <v>100</v>
      </c>
      <c r="V37" s="664" t="s">
        <v>14</v>
      </c>
      <c r="W37" s="665">
        <f t="shared" si="14"/>
        <v>100</v>
      </c>
      <c r="X37" s="666"/>
      <c r="Y37" s="343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37" t="s">
        <v>1696</v>
      </c>
      <c r="Q38" s="1263" t="str">
        <f t="shared" si="11"/>
        <v>业态</v>
      </c>
      <c r="R38" s="667" t="s">
        <v>14</v>
      </c>
      <c r="S38" s="668">
        <f t="shared" si="12"/>
        <v>100</v>
      </c>
      <c r="T38" s="667" t="s">
        <v>14</v>
      </c>
      <c r="U38" s="668">
        <f t="shared" si="13"/>
        <v>100</v>
      </c>
      <c r="V38" s="667" t="s">
        <v>14</v>
      </c>
      <c r="W38" s="668">
        <f t="shared" si="14"/>
        <v>100</v>
      </c>
      <c r="X38" s="1265"/>
      <c r="Y38" s="3439"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37"/>
      <c r="Q39" s="1263" t="str">
        <f t="shared" si="11"/>
        <v>层高</v>
      </c>
      <c r="R39" s="667" t="s">
        <v>14</v>
      </c>
      <c r="S39" s="668">
        <f t="shared" si="12"/>
        <v>100</v>
      </c>
      <c r="T39" s="667" t="s">
        <v>14</v>
      </c>
      <c r="U39" s="668">
        <f t="shared" si="13"/>
        <v>100</v>
      </c>
      <c r="V39" s="667" t="s">
        <v>14</v>
      </c>
      <c r="W39" s="668">
        <f t="shared" si="14"/>
        <v>100</v>
      </c>
      <c r="X39" s="1265"/>
      <c r="Y39" s="343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7"/>
      <c r="Q40" s="1263" t="str">
        <f t="shared" si="11"/>
        <v>单套建筑面积</v>
      </c>
      <c r="R40" s="667" t="s">
        <v>14</v>
      </c>
      <c r="S40" s="668">
        <f t="shared" si="12"/>
        <v>100</v>
      </c>
      <c r="T40" s="667" t="s">
        <v>14</v>
      </c>
      <c r="U40" s="668">
        <f t="shared" si="13"/>
        <v>100</v>
      </c>
      <c r="V40" s="667" t="s">
        <v>14</v>
      </c>
      <c r="W40" s="668">
        <f t="shared" si="14"/>
        <v>100</v>
      </c>
      <c r="X40" s="1265"/>
      <c r="Y40" s="343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7"/>
      <c r="Q41" s="531" t="str">
        <f t="shared" si="11"/>
        <v>进深比</v>
      </c>
      <c r="R41" s="669" t="s">
        <v>14</v>
      </c>
      <c r="S41" s="670">
        <f t="shared" si="12"/>
        <v>100</v>
      </c>
      <c r="T41" s="669" t="s">
        <v>14</v>
      </c>
      <c r="U41" s="670">
        <f t="shared" si="13"/>
        <v>100</v>
      </c>
      <c r="V41" s="669" t="s">
        <v>14</v>
      </c>
      <c r="W41" s="670">
        <f t="shared" si="14"/>
        <v>100</v>
      </c>
      <c r="X41" s="671"/>
      <c r="Y41" s="343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37"/>
      <c r="Q42" s="1263" t="str">
        <f t="shared" si="11"/>
        <v>内部装修</v>
      </c>
      <c r="R42" s="667" t="s">
        <v>14</v>
      </c>
      <c r="S42" s="668">
        <f t="shared" si="12"/>
        <v>100</v>
      </c>
      <c r="T42" s="667" t="s">
        <v>14</v>
      </c>
      <c r="U42" s="668">
        <f t="shared" si="13"/>
        <v>100</v>
      </c>
      <c r="V42" s="667" t="s">
        <v>14</v>
      </c>
      <c r="W42" s="668">
        <f t="shared" si="14"/>
        <v>100</v>
      </c>
      <c r="X42" s="1265"/>
      <c r="Y42" s="3439"/>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37"/>
      <c r="Q43" s="1263" t="str">
        <f t="shared" si="11"/>
        <v>内部装修维护情况</v>
      </c>
      <c r="R43" s="667" t="s">
        <v>14</v>
      </c>
      <c r="S43" s="668">
        <f t="shared" si="12"/>
        <v>100</v>
      </c>
      <c r="T43" s="667" t="s">
        <v>14</v>
      </c>
      <c r="U43" s="668">
        <f t="shared" si="13"/>
        <v>100</v>
      </c>
      <c r="V43" s="667" t="s">
        <v>14</v>
      </c>
      <c r="W43" s="668">
        <f t="shared" si="14"/>
        <v>100</v>
      </c>
      <c r="X43" s="1265"/>
      <c r="Y43" s="343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37"/>
      <c r="Q44" s="530">
        <f t="shared" si="11"/>
        <v>111</v>
      </c>
      <c r="R44" s="664" t="s">
        <v>14</v>
      </c>
      <c r="S44" s="665">
        <f t="shared" si="12"/>
        <v>100</v>
      </c>
      <c r="T44" s="664" t="s">
        <v>14</v>
      </c>
      <c r="U44" s="665">
        <f t="shared" si="13"/>
        <v>100</v>
      </c>
      <c r="V44" s="664" t="s">
        <v>14</v>
      </c>
      <c r="W44" s="665">
        <f t="shared" si="14"/>
        <v>100</v>
      </c>
      <c r="X44" s="666"/>
      <c r="Y44" s="343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7"/>
      <c r="Q45" s="1263">
        <f t="shared" si="11"/>
        <v>111</v>
      </c>
      <c r="R45" s="667" t="s">
        <v>14</v>
      </c>
      <c r="S45" s="668">
        <f t="shared" si="12"/>
        <v>100</v>
      </c>
      <c r="T45" s="667" t="s">
        <v>14</v>
      </c>
      <c r="U45" s="668">
        <f t="shared" si="13"/>
        <v>100</v>
      </c>
      <c r="V45" s="667" t="s">
        <v>14</v>
      </c>
      <c r="W45" s="668">
        <f t="shared" si="14"/>
        <v>100</v>
      </c>
      <c r="X45" s="1265"/>
      <c r="Y45" s="3439"/>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33" t="str">
        <f>A47</f>
        <v>成交单价（元/平方米）</v>
      </c>
      <c r="Q47" s="3433"/>
      <c r="R47" s="3428">
        <f>E47</f>
        <v>0</v>
      </c>
      <c r="S47" s="3428"/>
      <c r="T47" s="3428">
        <f>G47</f>
        <v>0</v>
      </c>
      <c r="U47" s="3428"/>
      <c r="V47" s="3428">
        <f>I47</f>
        <v>0</v>
      </c>
      <c r="W47" s="3428"/>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33" t="str">
        <f>A48</f>
        <v>比较价值（元/平方米）</v>
      </c>
      <c r="Q48" s="3433"/>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估价对象为北京市房地产，为所有。根据《国有土地使用证》[]，估价对象（分摊）出让国有建设用地使用权面积为9256.19平方米，建筑面积为14139.2平方米。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估价对象为北京市房地产,为开发建设的，该项目尚在开发建设中。根据《国有土地使用证》[]，估价对象（分摊）出让国有建设用地使用权面积为9256.19平方米，规划建筑面积为14139.2平方米。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14139.199999999997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16" t="s">
        <v>1770</v>
      </c>
      <c r="D4" s="3417"/>
      <c r="E4" s="3418" t="s">
        <v>1771</v>
      </c>
      <c r="F4" s="3419"/>
      <c r="G4" s="3416" t="s">
        <v>1772</v>
      </c>
      <c r="H4" s="3417"/>
      <c r="I4" s="3416" t="s">
        <v>1773</v>
      </c>
      <c r="J4" s="3417"/>
      <c r="K4" s="537" t="s">
        <v>1774</v>
      </c>
      <c r="L4" s="2486"/>
      <c r="M4" s="2487"/>
      <c r="N4" s="2487"/>
      <c r="O4" s="2487"/>
      <c r="P4" s="3449" t="s">
        <v>1775</v>
      </c>
      <c r="Q4" s="3450"/>
      <c r="R4" s="3444" t="s">
        <v>1771</v>
      </c>
      <c r="S4" s="3445"/>
      <c r="T4" s="3444" t="s">
        <v>1772</v>
      </c>
      <c r="U4" s="3445"/>
      <c r="V4" s="3453" t="s">
        <v>1773</v>
      </c>
      <c r="W4" s="3453"/>
      <c r="X4" s="1808"/>
      <c r="Y4" s="3444" t="s">
        <v>1775</v>
      </c>
      <c r="Z4" s="3445"/>
      <c r="AA4" s="3443" t="s">
        <v>1771</v>
      </c>
      <c r="AB4" s="3443" t="s">
        <v>1772</v>
      </c>
      <c r="AC4" s="3446" t="s">
        <v>1773</v>
      </c>
    </row>
    <row r="5" spans="1:29" ht="15">
      <c r="A5" s="348"/>
      <c r="B5" s="349"/>
      <c r="C5" s="3409" t="s">
        <v>1673</v>
      </c>
      <c r="D5" s="3410"/>
      <c r="E5" s="3407" t="s">
        <v>1674</v>
      </c>
      <c r="F5" s="3408"/>
      <c r="G5" s="3409" t="s">
        <v>1675</v>
      </c>
      <c r="H5" s="3410"/>
      <c r="I5" s="3409" t="s">
        <v>1676</v>
      </c>
      <c r="J5" s="3410"/>
      <c r="K5" s="537"/>
      <c r="L5" s="2486"/>
      <c r="M5" s="2487"/>
      <c r="N5" s="2487"/>
      <c r="O5" s="2487"/>
      <c r="P5" s="3451"/>
      <c r="Q5" s="3423"/>
      <c r="R5" s="3405"/>
      <c r="S5" s="3406"/>
      <c r="T5" s="3405"/>
      <c r="U5" s="3406"/>
      <c r="V5" s="3428"/>
      <c r="W5" s="3428"/>
      <c r="X5" s="1265"/>
      <c r="Y5" s="3405"/>
      <c r="Z5" s="3406"/>
      <c r="AA5" s="3399"/>
      <c r="AB5" s="3399"/>
      <c r="AC5" s="3447"/>
    </row>
    <row r="6" spans="1:29" ht="15.75" thickBot="1">
      <c r="A6" s="350"/>
      <c r="B6" s="351"/>
      <c r="C6" s="3411" t="s">
        <v>1677</v>
      </c>
      <c r="D6" s="3412"/>
      <c r="E6" s="3413" t="s">
        <v>1677</v>
      </c>
      <c r="F6" s="3414"/>
      <c r="G6" s="3411" t="s">
        <v>1677</v>
      </c>
      <c r="H6" s="3412"/>
      <c r="I6" s="3411" t="s">
        <v>1677</v>
      </c>
      <c r="J6" s="3412"/>
      <c r="K6" s="537" t="s">
        <v>1678</v>
      </c>
      <c r="L6" s="2486"/>
      <c r="M6" s="2487"/>
      <c r="N6" s="2487"/>
      <c r="O6" s="2487"/>
      <c r="P6" s="3452"/>
      <c r="Q6" s="3425"/>
      <c r="R6" s="3405"/>
      <c r="S6" s="3406"/>
      <c r="T6" s="3426"/>
      <c r="U6" s="3427"/>
      <c r="V6" s="3428"/>
      <c r="W6" s="3428"/>
      <c r="X6" s="1265"/>
      <c r="Y6" s="3426"/>
      <c r="Z6" s="3427"/>
      <c r="AA6" s="3400"/>
      <c r="AB6" s="3400"/>
      <c r="AC6" s="3448"/>
    </row>
    <row r="7" spans="1:29" s="102" customFormat="1" ht="15.75" thickBot="1">
      <c r="A7" s="352" t="s">
        <v>1679</v>
      </c>
      <c r="B7" s="353"/>
      <c r="C7" s="354">
        <f>'数据-取费表'!B2</f>
        <v>45574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4" t="s">
        <v>1680</v>
      </c>
      <c r="Q7" s="3429"/>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4" t="s">
        <v>1683</v>
      </c>
      <c r="Q8" s="3402"/>
      <c r="R8" s="664" t="s">
        <v>14</v>
      </c>
      <c r="S8" s="665">
        <f t="shared" si="0"/>
        <v>100</v>
      </c>
      <c r="T8" s="664" t="s">
        <v>14</v>
      </c>
      <c r="U8" s="665">
        <f t="shared" si="1"/>
        <v>100</v>
      </c>
      <c r="V8" s="664" t="s">
        <v>14</v>
      </c>
      <c r="W8" s="665">
        <f t="shared" si="2"/>
        <v>100</v>
      </c>
      <c r="X8" s="666"/>
      <c r="Y8" s="3401" t="s">
        <v>1683</v>
      </c>
      <c r="Z8" s="340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15"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5"/>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5"/>
      <c r="Q11" s="530" t="str">
        <f t="shared" si="6"/>
        <v>容积率</v>
      </c>
      <c r="R11" s="664" t="s">
        <v>14</v>
      </c>
      <c r="S11" s="665">
        <f t="shared" si="0"/>
        <v>100</v>
      </c>
      <c r="T11" s="664" t="s">
        <v>14</v>
      </c>
      <c r="U11" s="665">
        <f t="shared" si="1"/>
        <v>100</v>
      </c>
      <c r="V11" s="664" t="s">
        <v>14</v>
      </c>
      <c r="W11" s="665">
        <f t="shared" si="2"/>
        <v>100</v>
      </c>
      <c r="X11" s="666"/>
      <c r="Y11" s="332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15"/>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15"/>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15"/>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1" t="s">
        <v>1691</v>
      </c>
      <c r="Q15" s="1263" t="str">
        <f t="shared" si="6"/>
        <v>办公集聚程度</v>
      </c>
      <c r="R15" s="667" t="s">
        <v>14</v>
      </c>
      <c r="S15" s="668">
        <f t="shared" si="0"/>
        <v>100</v>
      </c>
      <c r="T15" s="667" t="s">
        <v>14</v>
      </c>
      <c r="U15" s="668">
        <f t="shared" si="1"/>
        <v>100</v>
      </c>
      <c r="V15" s="667" t="s">
        <v>14</v>
      </c>
      <c r="W15" s="668">
        <f t="shared" si="2"/>
        <v>100</v>
      </c>
      <c r="X15" s="1265"/>
      <c r="Y15" s="3434"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42"/>
      <c r="Q16" s="1263"/>
      <c r="R16" s="667"/>
      <c r="S16" s="668"/>
      <c r="T16" s="667"/>
      <c r="U16" s="668"/>
      <c r="V16" s="667"/>
      <c r="W16" s="668"/>
      <c r="X16" s="1265"/>
      <c r="Y16" s="3435"/>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2"/>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42"/>
      <c r="Q18" s="1263"/>
      <c r="R18" s="667"/>
      <c r="S18" s="668"/>
      <c r="T18" s="667"/>
      <c r="U18" s="668"/>
      <c r="V18" s="667"/>
      <c r="W18" s="668"/>
      <c r="X18" s="1265"/>
      <c r="Y18" s="3435"/>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2"/>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42"/>
      <c r="Q20" s="1263"/>
      <c r="R20" s="667"/>
      <c r="S20" s="668"/>
      <c r="T20" s="667"/>
      <c r="U20" s="668"/>
      <c r="V20" s="667"/>
      <c r="W20" s="668"/>
      <c r="X20" s="1265"/>
      <c r="Y20" s="3435"/>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42"/>
      <c r="Q22" s="1263"/>
      <c r="R22" s="667"/>
      <c r="S22" s="668"/>
      <c r="T22" s="667"/>
      <c r="U22" s="668"/>
      <c r="V22" s="667"/>
      <c r="W22" s="668"/>
      <c r="X22" s="1265"/>
      <c r="Y22" s="3435"/>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2"/>
      <c r="Q23" s="1263" t="str">
        <f>B23</f>
        <v>环境质量</v>
      </c>
      <c r="R23" s="667" t="s">
        <v>14</v>
      </c>
      <c r="S23" s="668">
        <f>F23</f>
        <v>100</v>
      </c>
      <c r="T23" s="667" t="s">
        <v>14</v>
      </c>
      <c r="U23" s="668">
        <f>H23</f>
        <v>100</v>
      </c>
      <c r="V23" s="667" t="s">
        <v>14</v>
      </c>
      <c r="W23" s="668">
        <f>J23</f>
        <v>100</v>
      </c>
      <c r="X23" s="1265"/>
      <c r="Y23" s="3435"/>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42"/>
      <c r="Q24" s="1263"/>
      <c r="R24" s="667"/>
      <c r="S24" s="668"/>
      <c r="T24" s="667"/>
      <c r="U24" s="668"/>
      <c r="V24" s="667"/>
      <c r="W24" s="668"/>
      <c r="X24" s="1265"/>
      <c r="Y24" s="3435"/>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42"/>
      <c r="Q25" s="1263" t="str">
        <f>B25</f>
        <v>毗邻道路的类型与等级</v>
      </c>
      <c r="R25" s="667" t="s">
        <v>14</v>
      </c>
      <c r="S25" s="668">
        <f>F25</f>
        <v>100</v>
      </c>
      <c r="T25" s="667" t="s">
        <v>14</v>
      </c>
      <c r="U25" s="668">
        <f>H25</f>
        <v>100</v>
      </c>
      <c r="V25" s="667" t="s">
        <v>14</v>
      </c>
      <c r="W25" s="668">
        <f>J25</f>
        <v>100</v>
      </c>
      <c r="X25" s="1265"/>
      <c r="Y25" s="343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42"/>
      <c r="Q26" s="1263"/>
      <c r="R26" s="667"/>
      <c r="S26" s="668"/>
      <c r="T26" s="667"/>
      <c r="U26" s="668"/>
      <c r="V26" s="667"/>
      <c r="W26" s="668"/>
      <c r="X26" s="1265"/>
      <c r="Y26" s="343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2"/>
      <c r="Q27" s="1263" t="str">
        <f t="shared" ref="Q27:Q47" si="11">B27</f>
        <v>楼层</v>
      </c>
      <c r="R27" s="667" t="s">
        <v>14</v>
      </c>
      <c r="S27" s="668">
        <f>F27</f>
        <v>100</v>
      </c>
      <c r="T27" s="667" t="s">
        <v>14</v>
      </c>
      <c r="U27" s="668">
        <f>H27</f>
        <v>100</v>
      </c>
      <c r="V27" s="667" t="s">
        <v>14</v>
      </c>
      <c r="W27" s="668">
        <f>J27</f>
        <v>100</v>
      </c>
      <c r="X27" s="1265"/>
      <c r="Y27" s="343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42"/>
      <c r="Q28" s="530" t="str">
        <f t="shared" si="11"/>
        <v>朝向</v>
      </c>
      <c r="R28" s="664" t="s">
        <v>14</v>
      </c>
      <c r="S28" s="665">
        <f>F28</f>
        <v>100</v>
      </c>
      <c r="T28" s="664" t="s">
        <v>14</v>
      </c>
      <c r="U28" s="665">
        <f>H28</f>
        <v>100</v>
      </c>
      <c r="V28" s="664" t="s">
        <v>14</v>
      </c>
      <c r="W28" s="665">
        <f>J28</f>
        <v>100</v>
      </c>
      <c r="X28" s="666"/>
      <c r="Y28" s="3435"/>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42"/>
      <c r="Q29" s="1263">
        <f t="shared" si="11"/>
        <v>111</v>
      </c>
      <c r="R29" s="667" t="s">
        <v>14</v>
      </c>
      <c r="S29" s="668">
        <f t="shared" ref="S29:S47" si="12">F29</f>
        <v>100</v>
      </c>
      <c r="T29" s="667" t="s">
        <v>14</v>
      </c>
      <c r="U29" s="668">
        <f t="shared" ref="U29:U47" si="13">H29</f>
        <v>100</v>
      </c>
      <c r="V29" s="667" t="s">
        <v>14</v>
      </c>
      <c r="W29" s="668">
        <f t="shared" ref="W29:W47" si="14">J29</f>
        <v>100</v>
      </c>
      <c r="X29" s="1265"/>
      <c r="Y29" s="3435"/>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42"/>
      <c r="Q30" s="1263">
        <f t="shared" si="11"/>
        <v>111</v>
      </c>
      <c r="R30" s="667" t="s">
        <v>14</v>
      </c>
      <c r="S30" s="668">
        <f t="shared" si="12"/>
        <v>100</v>
      </c>
      <c r="T30" s="667" t="s">
        <v>14</v>
      </c>
      <c r="U30" s="668">
        <f t="shared" si="13"/>
        <v>100</v>
      </c>
      <c r="V30" s="667" t="s">
        <v>14</v>
      </c>
      <c r="W30" s="668">
        <f t="shared" si="14"/>
        <v>100</v>
      </c>
      <c r="X30" s="1265"/>
      <c r="Y30" s="3435"/>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42"/>
      <c r="Q31" s="1263">
        <f t="shared" si="11"/>
        <v>111</v>
      </c>
      <c r="R31" s="667" t="s">
        <v>14</v>
      </c>
      <c r="S31" s="668">
        <f t="shared" si="12"/>
        <v>100</v>
      </c>
      <c r="T31" s="667" t="s">
        <v>14</v>
      </c>
      <c r="U31" s="668">
        <f t="shared" si="13"/>
        <v>100</v>
      </c>
      <c r="V31" s="667" t="s">
        <v>14</v>
      </c>
      <c r="W31" s="668">
        <f t="shared" si="14"/>
        <v>100</v>
      </c>
      <c r="X31" s="1265"/>
      <c r="Y31" s="3435"/>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42"/>
      <c r="Q32" s="1263">
        <f t="shared" si="11"/>
        <v>111</v>
      </c>
      <c r="R32" s="667" t="s">
        <v>14</v>
      </c>
      <c r="S32" s="668">
        <f t="shared" si="12"/>
        <v>100</v>
      </c>
      <c r="T32" s="667" t="s">
        <v>14</v>
      </c>
      <c r="U32" s="668">
        <f t="shared" si="13"/>
        <v>100</v>
      </c>
      <c r="V32" s="667" t="s">
        <v>14</v>
      </c>
      <c r="W32" s="668">
        <f t="shared" si="14"/>
        <v>100</v>
      </c>
      <c r="X32" s="1265"/>
      <c r="Y32" s="3435"/>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36" t="s">
        <v>1696</v>
      </c>
      <c r="Q33" s="1263" t="str">
        <f t="shared" si="11"/>
        <v>建筑类型</v>
      </c>
      <c r="R33" s="667" t="s">
        <v>14</v>
      </c>
      <c r="S33" s="668">
        <f t="shared" si="12"/>
        <v>100</v>
      </c>
      <c r="T33" s="667" t="s">
        <v>14</v>
      </c>
      <c r="U33" s="668">
        <f t="shared" si="13"/>
        <v>100</v>
      </c>
      <c r="V33" s="667" t="s">
        <v>14</v>
      </c>
      <c r="W33" s="668">
        <f t="shared" si="14"/>
        <v>100</v>
      </c>
      <c r="X33" s="1265"/>
      <c r="Y33" s="343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7"/>
      <c r="Q34" s="531" t="str">
        <f t="shared" si="11"/>
        <v>项目建筑规模</v>
      </c>
      <c r="R34" s="669" t="s">
        <v>14</v>
      </c>
      <c r="S34" s="670" t="e">
        <f t="shared" si="12"/>
        <v>#N/A</v>
      </c>
      <c r="T34" s="669" t="s">
        <v>14</v>
      </c>
      <c r="U34" s="670" t="e">
        <f t="shared" si="13"/>
        <v>#N/A</v>
      </c>
      <c r="V34" s="669" t="s">
        <v>14</v>
      </c>
      <c r="W34" s="670" t="e">
        <f t="shared" si="14"/>
        <v>#N/A</v>
      </c>
      <c r="X34" s="671"/>
      <c r="Y34" s="343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7"/>
      <c r="Q35" s="1263" t="str">
        <f t="shared" si="11"/>
        <v>建筑结构</v>
      </c>
      <c r="R35" s="667" t="s">
        <v>14</v>
      </c>
      <c r="S35" s="668">
        <f t="shared" si="12"/>
        <v>100</v>
      </c>
      <c r="T35" s="667" t="s">
        <v>14</v>
      </c>
      <c r="U35" s="668">
        <f t="shared" si="13"/>
        <v>100</v>
      </c>
      <c r="V35" s="667" t="s">
        <v>14</v>
      </c>
      <c r="W35" s="668">
        <f t="shared" si="14"/>
        <v>100</v>
      </c>
      <c r="X35" s="1265"/>
      <c r="Y35" s="343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7"/>
      <c r="Q36" s="1263" t="str">
        <f t="shared" si="11"/>
        <v>公共部分装修</v>
      </c>
      <c r="R36" s="667" t="s">
        <v>14</v>
      </c>
      <c r="S36" s="668">
        <f t="shared" si="12"/>
        <v>100</v>
      </c>
      <c r="T36" s="667" t="s">
        <v>14</v>
      </c>
      <c r="U36" s="668">
        <f t="shared" si="13"/>
        <v>100</v>
      </c>
      <c r="V36" s="667" t="s">
        <v>14</v>
      </c>
      <c r="W36" s="668">
        <f t="shared" si="14"/>
        <v>100</v>
      </c>
      <c r="X36" s="1265"/>
      <c r="Y36" s="343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7"/>
      <c r="Q37" s="1263" t="str">
        <f t="shared" si="11"/>
        <v>成新度</v>
      </c>
      <c r="R37" s="667" t="s">
        <v>14</v>
      </c>
      <c r="S37" s="668" t="e">
        <f t="shared" si="12"/>
        <v>#N/A</v>
      </c>
      <c r="T37" s="667" t="s">
        <v>14</v>
      </c>
      <c r="U37" s="668" t="e">
        <f t="shared" si="13"/>
        <v>#N/A</v>
      </c>
      <c r="V37" s="667" t="s">
        <v>14</v>
      </c>
      <c r="W37" s="668" t="e">
        <f t="shared" si="14"/>
        <v>#N/A</v>
      </c>
      <c r="X37" s="1265"/>
      <c r="Y37" s="343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37"/>
      <c r="Q38" s="530" t="str">
        <f t="shared" si="11"/>
        <v>写字楼等级</v>
      </c>
      <c r="R38" s="664" t="s">
        <v>14</v>
      </c>
      <c r="S38" s="665">
        <f t="shared" si="12"/>
        <v>100</v>
      </c>
      <c r="T38" s="664" t="s">
        <v>14</v>
      </c>
      <c r="U38" s="665">
        <f t="shared" si="13"/>
        <v>100</v>
      </c>
      <c r="V38" s="664" t="s">
        <v>14</v>
      </c>
      <c r="W38" s="665">
        <f t="shared" si="14"/>
        <v>100</v>
      </c>
      <c r="X38" s="666"/>
      <c r="Y38" s="343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7" t="s">
        <v>1696</v>
      </c>
      <c r="Q39" s="1263" t="str">
        <f t="shared" si="11"/>
        <v>物业管理</v>
      </c>
      <c r="R39" s="667" t="s">
        <v>14</v>
      </c>
      <c r="S39" s="668">
        <f t="shared" si="12"/>
        <v>100</v>
      </c>
      <c r="T39" s="667" t="s">
        <v>14</v>
      </c>
      <c r="U39" s="668">
        <f t="shared" si="13"/>
        <v>100</v>
      </c>
      <c r="V39" s="667" t="s">
        <v>14</v>
      </c>
      <c r="W39" s="668">
        <f t="shared" si="14"/>
        <v>100</v>
      </c>
      <c r="X39" s="1265"/>
      <c r="Y39" s="343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7"/>
      <c r="Q40" s="1263" t="str">
        <f t="shared" si="11"/>
        <v>市政基础设施</v>
      </c>
      <c r="R40" s="667" t="s">
        <v>14</v>
      </c>
      <c r="S40" s="668">
        <f t="shared" si="12"/>
        <v>100</v>
      </c>
      <c r="T40" s="667" t="s">
        <v>14</v>
      </c>
      <c r="U40" s="668">
        <f t="shared" si="13"/>
        <v>100</v>
      </c>
      <c r="V40" s="667" t="s">
        <v>14</v>
      </c>
      <c r="W40" s="668">
        <f t="shared" si="14"/>
        <v>100</v>
      </c>
      <c r="X40" s="1265"/>
      <c r="Y40" s="343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7"/>
      <c r="Q41" s="1263" t="str">
        <f t="shared" si="11"/>
        <v>层高</v>
      </c>
      <c r="R41" s="667" t="s">
        <v>14</v>
      </c>
      <c r="S41" s="668">
        <f t="shared" si="12"/>
        <v>100</v>
      </c>
      <c r="T41" s="667" t="s">
        <v>14</v>
      </c>
      <c r="U41" s="668">
        <f t="shared" si="13"/>
        <v>100</v>
      </c>
      <c r="V41" s="667" t="s">
        <v>14</v>
      </c>
      <c r="W41" s="668">
        <f t="shared" si="14"/>
        <v>100</v>
      </c>
      <c r="X41" s="1265"/>
      <c r="Y41" s="343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7"/>
      <c r="Q42" s="531" t="str">
        <f t="shared" si="11"/>
        <v>单套建筑面积</v>
      </c>
      <c r="R42" s="669" t="s">
        <v>14</v>
      </c>
      <c r="S42" s="670">
        <f t="shared" si="12"/>
        <v>100</v>
      </c>
      <c r="T42" s="669" t="s">
        <v>14</v>
      </c>
      <c r="U42" s="670">
        <f t="shared" si="13"/>
        <v>100</v>
      </c>
      <c r="V42" s="669" t="s">
        <v>14</v>
      </c>
      <c r="W42" s="670">
        <f t="shared" si="14"/>
        <v>100</v>
      </c>
      <c r="X42" s="671"/>
      <c r="Y42" s="343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7"/>
      <c r="Q43" s="1263" t="str">
        <f t="shared" si="11"/>
        <v>内部装修</v>
      </c>
      <c r="R43" s="667" t="s">
        <v>14</v>
      </c>
      <c r="S43" s="668">
        <f t="shared" si="12"/>
        <v>100</v>
      </c>
      <c r="T43" s="667" t="s">
        <v>14</v>
      </c>
      <c r="U43" s="668">
        <f t="shared" si="13"/>
        <v>100</v>
      </c>
      <c r="V43" s="667" t="s">
        <v>14</v>
      </c>
      <c r="W43" s="668">
        <f t="shared" si="14"/>
        <v>100</v>
      </c>
      <c r="X43" s="1265"/>
      <c r="Y43" s="3439"/>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37"/>
      <c r="Q44" s="1263" t="str">
        <f t="shared" si="11"/>
        <v>内部装修维护情况</v>
      </c>
      <c r="R44" s="667" t="s">
        <v>14</v>
      </c>
      <c r="S44" s="668">
        <f t="shared" si="12"/>
        <v>100</v>
      </c>
      <c r="T44" s="667" t="s">
        <v>14</v>
      </c>
      <c r="U44" s="668">
        <f t="shared" si="13"/>
        <v>100</v>
      </c>
      <c r="V44" s="667" t="s">
        <v>14</v>
      </c>
      <c r="W44" s="668">
        <f t="shared" si="14"/>
        <v>100</v>
      </c>
      <c r="X44" s="1265"/>
      <c r="Y44" s="343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37"/>
      <c r="Q45" s="530">
        <f t="shared" si="11"/>
        <v>111</v>
      </c>
      <c r="R45" s="664" t="s">
        <v>14</v>
      </c>
      <c r="S45" s="665">
        <f t="shared" si="12"/>
        <v>100</v>
      </c>
      <c r="T45" s="664" t="s">
        <v>14</v>
      </c>
      <c r="U45" s="665">
        <f t="shared" si="13"/>
        <v>100</v>
      </c>
      <c r="V45" s="664" t="s">
        <v>14</v>
      </c>
      <c r="W45" s="665">
        <f t="shared" si="14"/>
        <v>100</v>
      </c>
      <c r="X45" s="666"/>
      <c r="Y45" s="343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8"/>
      <c r="Q47" s="1263">
        <f t="shared" si="11"/>
        <v>111</v>
      </c>
      <c r="R47" s="667" t="s">
        <v>14</v>
      </c>
      <c r="S47" s="668">
        <f t="shared" si="12"/>
        <v>100</v>
      </c>
      <c r="T47" s="667" t="s">
        <v>14</v>
      </c>
      <c r="U47" s="668">
        <f t="shared" si="13"/>
        <v>100</v>
      </c>
      <c r="V47" s="667" t="s">
        <v>14</v>
      </c>
      <c r="W47" s="668">
        <f t="shared" si="14"/>
        <v>100</v>
      </c>
      <c r="X47" s="1265"/>
      <c r="Y47" s="3440"/>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15" t="str">
        <f>A48</f>
        <v>成交单价（元/平方米）</v>
      </c>
      <c r="Q48" s="3433"/>
      <c r="R48" s="3428">
        <f>E48</f>
        <v>0</v>
      </c>
      <c r="S48" s="3428"/>
      <c r="T48" s="3428">
        <f>G48</f>
        <v>0</v>
      </c>
      <c r="U48" s="3428"/>
      <c r="V48" s="3428">
        <f>I48</f>
        <v>0</v>
      </c>
      <c r="W48" s="3428"/>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15" t="str">
        <f>A49</f>
        <v>比较价值（元/平方米）</v>
      </c>
      <c r="Q49" s="3433"/>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14139.199999999997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6" t="s">
        <v>1770</v>
      </c>
      <c r="D4" s="3417"/>
      <c r="E4" s="3418" t="s">
        <v>1771</v>
      </c>
      <c r="F4" s="3419"/>
      <c r="G4" s="3416" t="s">
        <v>1772</v>
      </c>
      <c r="H4" s="3417"/>
      <c r="I4" s="3416" t="s">
        <v>1773</v>
      </c>
      <c r="J4" s="3417"/>
      <c r="K4" s="537" t="s">
        <v>1774</v>
      </c>
      <c r="L4" s="860"/>
      <c r="M4" s="861"/>
      <c r="N4" s="861"/>
      <c r="O4" s="861"/>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ht="15">
      <c r="A5" s="348"/>
      <c r="B5" s="349"/>
      <c r="C5" s="3409" t="s">
        <v>1673</v>
      </c>
      <c r="D5" s="3410"/>
      <c r="E5" s="3407" t="s">
        <v>1674</v>
      </c>
      <c r="F5" s="3408"/>
      <c r="G5" s="3409" t="s">
        <v>1675</v>
      </c>
      <c r="H5" s="3410"/>
      <c r="I5" s="3409" t="s">
        <v>1676</v>
      </c>
      <c r="J5" s="3410"/>
      <c r="K5" s="537"/>
      <c r="L5" s="860"/>
      <c r="M5" s="861"/>
      <c r="N5" s="861"/>
      <c r="O5" s="861"/>
      <c r="P5" s="3422"/>
      <c r="Q5" s="3423"/>
      <c r="R5" s="3405"/>
      <c r="S5" s="3406"/>
      <c r="T5" s="3405"/>
      <c r="U5" s="3406"/>
      <c r="V5" s="3428"/>
      <c r="W5" s="3428"/>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537" t="s">
        <v>1678</v>
      </c>
      <c r="L6" s="860"/>
      <c r="M6" s="861"/>
      <c r="N6" s="861"/>
      <c r="O6" s="861"/>
      <c r="P6" s="3424"/>
      <c r="Q6" s="3425"/>
      <c r="R6" s="3405"/>
      <c r="S6" s="3406"/>
      <c r="T6" s="3426"/>
      <c r="U6" s="3427"/>
      <c r="V6" s="3428"/>
      <c r="W6" s="3428"/>
      <c r="X6" s="1265"/>
      <c r="Y6" s="3426"/>
      <c r="Z6" s="3427"/>
      <c r="AA6" s="3400"/>
      <c r="AB6" s="3400"/>
      <c r="AC6" s="3400"/>
    </row>
    <row r="7" spans="1:29" s="102" customFormat="1" ht="15.75" thickBot="1">
      <c r="A7" s="352" t="s">
        <v>1679</v>
      </c>
      <c r="B7" s="353"/>
      <c r="C7" s="354">
        <f>'数据-取费表'!B2</f>
        <v>45574</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29"/>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2"/>
      <c r="R8" s="664" t="s">
        <v>14</v>
      </c>
      <c r="S8" s="665">
        <f t="shared" si="0"/>
        <v>100</v>
      </c>
      <c r="T8" s="664" t="s">
        <v>14</v>
      </c>
      <c r="U8" s="665">
        <f t="shared" si="1"/>
        <v>100</v>
      </c>
      <c r="V8" s="664" t="s">
        <v>14</v>
      </c>
      <c r="W8" s="665">
        <f t="shared" si="2"/>
        <v>100</v>
      </c>
      <c r="X8" s="666"/>
      <c r="Y8" s="3401" t="s">
        <v>1683</v>
      </c>
      <c r="Z8" s="340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3"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3"/>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3"/>
      <c r="Q11" s="530" t="str">
        <f t="shared" si="6"/>
        <v>容积率</v>
      </c>
      <c r="R11" s="664" t="s">
        <v>14</v>
      </c>
      <c r="S11" s="665">
        <f t="shared" si="0"/>
        <v>100</v>
      </c>
      <c r="T11" s="664" t="s">
        <v>14</v>
      </c>
      <c r="U11" s="665">
        <f t="shared" si="1"/>
        <v>100</v>
      </c>
      <c r="V11" s="664" t="s">
        <v>14</v>
      </c>
      <c r="W11" s="665">
        <f t="shared" si="2"/>
        <v>100</v>
      </c>
      <c r="X11" s="666"/>
      <c r="Y11" s="332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33"/>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33"/>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33"/>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4" t="s">
        <v>1691</v>
      </c>
      <c r="Q15" s="1263" t="str">
        <f t="shared" si="6"/>
        <v>产业集聚程度</v>
      </c>
      <c r="R15" s="667" t="s">
        <v>14</v>
      </c>
      <c r="S15" s="668">
        <f t="shared" si="0"/>
        <v>100</v>
      </c>
      <c r="T15" s="667" t="s">
        <v>14</v>
      </c>
      <c r="U15" s="668">
        <f t="shared" si="1"/>
        <v>100</v>
      </c>
      <c r="V15" s="667" t="s">
        <v>14</v>
      </c>
      <c r="W15" s="668">
        <f t="shared" si="2"/>
        <v>100</v>
      </c>
      <c r="X15" s="1265"/>
      <c r="Y15" s="343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5"/>
      <c r="Q16" s="1263"/>
      <c r="R16" s="667"/>
      <c r="S16" s="668"/>
      <c r="T16" s="667"/>
      <c r="U16" s="668"/>
      <c r="V16" s="667"/>
      <c r="W16" s="668"/>
      <c r="X16" s="1265"/>
      <c r="Y16" s="3435"/>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5"/>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5"/>
      <c r="Q18" s="1263"/>
      <c r="R18" s="667"/>
      <c r="S18" s="668"/>
      <c r="T18" s="667"/>
      <c r="U18" s="668"/>
      <c r="V18" s="667"/>
      <c r="W18" s="668"/>
      <c r="X18" s="1265"/>
      <c r="Y18" s="3435"/>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5"/>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5"/>
      <c r="Q20" s="1263"/>
      <c r="R20" s="667"/>
      <c r="S20" s="668"/>
      <c r="T20" s="667"/>
      <c r="U20" s="668"/>
      <c r="V20" s="667"/>
      <c r="W20" s="668"/>
      <c r="X20" s="1265"/>
      <c r="Y20" s="3435"/>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5"/>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5"/>
      <c r="Q22" s="1263"/>
      <c r="R22" s="667"/>
      <c r="S22" s="668"/>
      <c r="T22" s="667"/>
      <c r="U22" s="668"/>
      <c r="V22" s="667"/>
      <c r="W22" s="668"/>
      <c r="X22" s="1265"/>
      <c r="Y22" s="3435"/>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5"/>
      <c r="Q23" s="1263" t="str">
        <f>B23</f>
        <v>环境质量</v>
      </c>
      <c r="R23" s="667" t="s">
        <v>14</v>
      </c>
      <c r="S23" s="668">
        <f>F23</f>
        <v>100</v>
      </c>
      <c r="T23" s="667" t="s">
        <v>14</v>
      </c>
      <c r="U23" s="668">
        <f>H23</f>
        <v>100</v>
      </c>
      <c r="V23" s="667" t="s">
        <v>14</v>
      </c>
      <c r="W23" s="668">
        <f>J23</f>
        <v>100</v>
      </c>
      <c r="X23" s="1265"/>
      <c r="Y23" s="343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5"/>
      <c r="Q24" s="1263"/>
      <c r="R24" s="667"/>
      <c r="S24" s="668"/>
      <c r="T24" s="667"/>
      <c r="U24" s="668"/>
      <c r="V24" s="667"/>
      <c r="W24" s="668"/>
      <c r="X24" s="1265"/>
      <c r="Y24" s="343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5"/>
      <c r="Q25" s="1263">
        <f>B25</f>
        <v>111</v>
      </c>
      <c r="R25" s="667" t="s">
        <v>14</v>
      </c>
      <c r="S25" s="668">
        <f>F25</f>
        <v>100</v>
      </c>
      <c r="T25" s="667" t="s">
        <v>14</v>
      </c>
      <c r="U25" s="668">
        <f>H25</f>
        <v>100</v>
      </c>
      <c r="V25" s="667" t="s">
        <v>14</v>
      </c>
      <c r="W25" s="668">
        <f>J25</f>
        <v>100</v>
      </c>
      <c r="X25" s="1265"/>
      <c r="Y25" s="343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5"/>
      <c r="Q26" s="1263">
        <f t="shared" ref="Q26:Q40" si="11">B26</f>
        <v>111</v>
      </c>
      <c r="R26" s="667" t="s">
        <v>14</v>
      </c>
      <c r="S26" s="668">
        <f>F26</f>
        <v>100</v>
      </c>
      <c r="T26" s="667" t="s">
        <v>14</v>
      </c>
      <c r="U26" s="668">
        <f>H26</f>
        <v>100</v>
      </c>
      <c r="V26" s="667" t="s">
        <v>14</v>
      </c>
      <c r="W26" s="668">
        <f>J26</f>
        <v>100</v>
      </c>
      <c r="X26" s="1265"/>
      <c r="Y26" s="343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5"/>
      <c r="Q27" s="530">
        <f t="shared" si="11"/>
        <v>111</v>
      </c>
      <c r="R27" s="664" t="s">
        <v>14</v>
      </c>
      <c r="S27" s="665">
        <f>F27</f>
        <v>100</v>
      </c>
      <c r="T27" s="664" t="s">
        <v>14</v>
      </c>
      <c r="U27" s="665">
        <f>H27</f>
        <v>100</v>
      </c>
      <c r="V27" s="664" t="s">
        <v>14</v>
      </c>
      <c r="W27" s="665">
        <f>J27</f>
        <v>100</v>
      </c>
      <c r="X27" s="666"/>
      <c r="Y27" s="343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5"/>
      <c r="Q28" s="1263">
        <f t="shared" si="11"/>
        <v>111</v>
      </c>
      <c r="R28" s="667" t="s">
        <v>14</v>
      </c>
      <c r="S28" s="668">
        <f t="shared" ref="S28:S40" si="12">F28</f>
        <v>100</v>
      </c>
      <c r="T28" s="667" t="s">
        <v>14</v>
      </c>
      <c r="U28" s="668">
        <f t="shared" ref="U28:U40" si="13">H28</f>
        <v>100</v>
      </c>
      <c r="V28" s="667" t="s">
        <v>14</v>
      </c>
      <c r="W28" s="668">
        <f t="shared" ref="W28:W40" si="14">J28</f>
        <v>100</v>
      </c>
      <c r="X28" s="1265"/>
      <c r="Y28" s="3435"/>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8" t="s">
        <v>1696</v>
      </c>
      <c r="Q29" s="1263" t="str">
        <f t="shared" si="11"/>
        <v>建筑类型</v>
      </c>
      <c r="R29" s="667" t="s">
        <v>14</v>
      </c>
      <c r="S29" s="668">
        <f t="shared" si="12"/>
        <v>100</v>
      </c>
      <c r="T29" s="667" t="s">
        <v>14</v>
      </c>
      <c r="U29" s="668">
        <f t="shared" si="13"/>
        <v>100</v>
      </c>
      <c r="V29" s="667" t="s">
        <v>14</v>
      </c>
      <c r="W29" s="668">
        <f t="shared" si="14"/>
        <v>100</v>
      </c>
      <c r="X29" s="1265"/>
      <c r="Y29" s="343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9"/>
      <c r="Q30" s="531" t="str">
        <f t="shared" si="11"/>
        <v>项目建筑规模</v>
      </c>
      <c r="R30" s="669" t="s">
        <v>14</v>
      </c>
      <c r="S30" s="670" t="e">
        <f t="shared" si="12"/>
        <v>#N/A</v>
      </c>
      <c r="T30" s="669" t="s">
        <v>14</v>
      </c>
      <c r="U30" s="670" t="e">
        <f t="shared" si="13"/>
        <v>#N/A</v>
      </c>
      <c r="V30" s="669" t="s">
        <v>14</v>
      </c>
      <c r="W30" s="670" t="e">
        <f t="shared" si="14"/>
        <v>#N/A</v>
      </c>
      <c r="X30" s="671"/>
      <c r="Y30" s="343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9"/>
      <c r="Q31" s="1263" t="str">
        <f t="shared" si="11"/>
        <v>建筑结构</v>
      </c>
      <c r="R31" s="667" t="s">
        <v>14</v>
      </c>
      <c r="S31" s="668">
        <f t="shared" si="12"/>
        <v>100</v>
      </c>
      <c r="T31" s="667" t="s">
        <v>14</v>
      </c>
      <c r="U31" s="668">
        <f t="shared" si="13"/>
        <v>100</v>
      </c>
      <c r="V31" s="667" t="s">
        <v>14</v>
      </c>
      <c r="W31" s="668">
        <f t="shared" si="14"/>
        <v>100</v>
      </c>
      <c r="X31" s="1265"/>
      <c r="Y31" s="343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9"/>
      <c r="Q32" s="1263" t="str">
        <f t="shared" si="11"/>
        <v>公共部分装修</v>
      </c>
      <c r="R32" s="667" t="s">
        <v>14</v>
      </c>
      <c r="S32" s="668">
        <f t="shared" si="12"/>
        <v>100</v>
      </c>
      <c r="T32" s="667" t="s">
        <v>14</v>
      </c>
      <c r="U32" s="668">
        <f t="shared" si="13"/>
        <v>100</v>
      </c>
      <c r="V32" s="667" t="s">
        <v>14</v>
      </c>
      <c r="W32" s="668">
        <f t="shared" si="14"/>
        <v>100</v>
      </c>
      <c r="X32" s="1265"/>
      <c r="Y32" s="343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9"/>
      <c r="Q33" s="1263" t="str">
        <f t="shared" si="11"/>
        <v>成新度</v>
      </c>
      <c r="R33" s="667" t="s">
        <v>14</v>
      </c>
      <c r="S33" s="668" t="e">
        <f t="shared" si="12"/>
        <v>#N/A</v>
      </c>
      <c r="T33" s="667" t="s">
        <v>14</v>
      </c>
      <c r="U33" s="668" t="e">
        <f t="shared" si="13"/>
        <v>#N/A</v>
      </c>
      <c r="V33" s="667" t="s">
        <v>14</v>
      </c>
      <c r="W33" s="668" t="e">
        <f t="shared" si="14"/>
        <v>#N/A</v>
      </c>
      <c r="X33" s="1265"/>
      <c r="Y33" s="343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9"/>
      <c r="Q34" s="530" t="str">
        <f t="shared" si="11"/>
        <v>物业管理</v>
      </c>
      <c r="R34" s="664" t="s">
        <v>14</v>
      </c>
      <c r="S34" s="665">
        <f t="shared" si="12"/>
        <v>100</v>
      </c>
      <c r="T34" s="664" t="s">
        <v>14</v>
      </c>
      <c r="U34" s="665">
        <f t="shared" si="13"/>
        <v>100</v>
      </c>
      <c r="V34" s="664" t="s">
        <v>14</v>
      </c>
      <c r="W34" s="665">
        <f t="shared" si="14"/>
        <v>100</v>
      </c>
      <c r="X34" s="666"/>
      <c r="Y34" s="343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9" t="s">
        <v>1696</v>
      </c>
      <c r="Q35" s="1263" t="str">
        <f t="shared" si="11"/>
        <v>市政基础设施</v>
      </c>
      <c r="R35" s="667" t="s">
        <v>14</v>
      </c>
      <c r="S35" s="668">
        <f t="shared" si="12"/>
        <v>100</v>
      </c>
      <c r="T35" s="667" t="s">
        <v>14</v>
      </c>
      <c r="U35" s="668">
        <f t="shared" si="13"/>
        <v>100</v>
      </c>
      <c r="V35" s="667" t="s">
        <v>14</v>
      </c>
      <c r="W35" s="668">
        <f t="shared" si="14"/>
        <v>100</v>
      </c>
      <c r="X35" s="1265"/>
      <c r="Y35" s="343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9"/>
      <c r="Q36" s="1263" t="str">
        <f t="shared" si="11"/>
        <v>内部装修</v>
      </c>
      <c r="R36" s="667" t="s">
        <v>14</v>
      </c>
      <c r="S36" s="668">
        <f t="shared" si="12"/>
        <v>100</v>
      </c>
      <c r="T36" s="667" t="s">
        <v>14</v>
      </c>
      <c r="U36" s="668">
        <f t="shared" si="13"/>
        <v>100</v>
      </c>
      <c r="V36" s="667" t="s">
        <v>14</v>
      </c>
      <c r="W36" s="668">
        <f t="shared" si="14"/>
        <v>100</v>
      </c>
      <c r="X36" s="1265"/>
      <c r="Y36" s="343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9"/>
      <c r="Q37" s="1263" t="str">
        <f t="shared" si="11"/>
        <v>内部装修状况</v>
      </c>
      <c r="R37" s="667" t="s">
        <v>14</v>
      </c>
      <c r="S37" s="668">
        <f t="shared" si="12"/>
        <v>100</v>
      </c>
      <c r="T37" s="667" t="s">
        <v>14</v>
      </c>
      <c r="U37" s="668">
        <f t="shared" si="13"/>
        <v>100</v>
      </c>
      <c r="V37" s="667" t="s">
        <v>14</v>
      </c>
      <c r="W37" s="668">
        <f t="shared" si="14"/>
        <v>100</v>
      </c>
      <c r="X37" s="1265"/>
      <c r="Y37" s="343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9"/>
      <c r="Q38" s="531">
        <f t="shared" si="11"/>
        <v>111</v>
      </c>
      <c r="R38" s="669" t="s">
        <v>14</v>
      </c>
      <c r="S38" s="670">
        <f t="shared" si="12"/>
        <v>100</v>
      </c>
      <c r="T38" s="669" t="s">
        <v>14</v>
      </c>
      <c r="U38" s="670">
        <f t="shared" si="13"/>
        <v>100</v>
      </c>
      <c r="V38" s="669" t="s">
        <v>14</v>
      </c>
      <c r="W38" s="670">
        <f t="shared" si="14"/>
        <v>100</v>
      </c>
      <c r="X38" s="671"/>
      <c r="Y38" s="343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9"/>
      <c r="Q39" s="1263">
        <f t="shared" si="11"/>
        <v>111</v>
      </c>
      <c r="R39" s="667" t="s">
        <v>14</v>
      </c>
      <c r="S39" s="668">
        <f t="shared" si="12"/>
        <v>100</v>
      </c>
      <c r="T39" s="667" t="s">
        <v>14</v>
      </c>
      <c r="U39" s="668">
        <f t="shared" si="13"/>
        <v>100</v>
      </c>
      <c r="V39" s="667" t="s">
        <v>14</v>
      </c>
      <c r="W39" s="668">
        <f t="shared" si="14"/>
        <v>100</v>
      </c>
      <c r="X39" s="1265"/>
      <c r="Y39" s="3439"/>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0"/>
      <c r="Q40" s="1263">
        <f t="shared" si="11"/>
        <v>111</v>
      </c>
      <c r="R40" s="667" t="s">
        <v>14</v>
      </c>
      <c r="S40" s="668">
        <f t="shared" si="12"/>
        <v>100</v>
      </c>
      <c r="T40" s="667" t="s">
        <v>14</v>
      </c>
      <c r="U40" s="668">
        <f t="shared" si="13"/>
        <v>100</v>
      </c>
      <c r="V40" s="667" t="s">
        <v>14</v>
      </c>
      <c r="W40" s="668">
        <f t="shared" si="14"/>
        <v>100</v>
      </c>
      <c r="X40" s="1265"/>
      <c r="Y40" s="344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3" t="str">
        <f>A41</f>
        <v>成交单价（元/平方米）</v>
      </c>
      <c r="Q41" s="3433"/>
      <c r="R41" s="3428">
        <f>E41</f>
        <v>0</v>
      </c>
      <c r="S41" s="3428"/>
      <c r="T41" s="3428">
        <f>G41</f>
        <v>0</v>
      </c>
      <c r="U41" s="3428"/>
      <c r="V41" s="3428">
        <f>I41</f>
        <v>0</v>
      </c>
      <c r="W41" s="3428"/>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33" t="str">
        <f>A42</f>
        <v>比较价值（元/平方米）</v>
      </c>
      <c r="Q42" s="3433"/>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16" t="s">
        <v>1770</v>
      </c>
      <c r="D4" s="3417"/>
      <c r="E4" s="3418" t="s">
        <v>1771</v>
      </c>
      <c r="F4" s="3419"/>
      <c r="G4" s="3416" t="s">
        <v>1772</v>
      </c>
      <c r="H4" s="3417"/>
      <c r="I4" s="3416" t="s">
        <v>1773</v>
      </c>
      <c r="J4" s="3417"/>
      <c r="K4" s="537" t="s">
        <v>1774</v>
      </c>
      <c r="L4" s="2486"/>
      <c r="M4" s="2487"/>
      <c r="N4" s="2487"/>
      <c r="O4" s="2487"/>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ht="15">
      <c r="A5" s="348"/>
      <c r="B5" s="349"/>
      <c r="C5" s="3409" t="s">
        <v>1673</v>
      </c>
      <c r="D5" s="3410"/>
      <c r="E5" s="3407" t="s">
        <v>1674</v>
      </c>
      <c r="F5" s="3408"/>
      <c r="G5" s="3409" t="s">
        <v>1675</v>
      </c>
      <c r="H5" s="3410"/>
      <c r="I5" s="3409" t="s">
        <v>1676</v>
      </c>
      <c r="J5" s="3410"/>
      <c r="K5" s="537"/>
      <c r="L5" s="2486"/>
      <c r="M5" s="2487"/>
      <c r="N5" s="2487"/>
      <c r="O5" s="2487"/>
      <c r="P5" s="3422"/>
      <c r="Q5" s="3423"/>
      <c r="R5" s="3405"/>
      <c r="S5" s="3406"/>
      <c r="T5" s="3405"/>
      <c r="U5" s="3406"/>
      <c r="V5" s="3428"/>
      <c r="W5" s="3428"/>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537" t="s">
        <v>1678</v>
      </c>
      <c r="L6" s="2486"/>
      <c r="M6" s="2487"/>
      <c r="N6" s="2487"/>
      <c r="O6" s="2487"/>
      <c r="P6" s="3424"/>
      <c r="Q6" s="3425"/>
      <c r="R6" s="3405"/>
      <c r="S6" s="3406"/>
      <c r="T6" s="3426"/>
      <c r="U6" s="3427"/>
      <c r="V6" s="3428"/>
      <c r="W6" s="3428"/>
      <c r="X6" s="1265"/>
      <c r="Y6" s="3426"/>
      <c r="Z6" s="3427"/>
      <c r="AA6" s="3400"/>
      <c r="AB6" s="3400"/>
      <c r="AC6" s="3400"/>
    </row>
    <row r="7" spans="1:29" s="102" customFormat="1" ht="15.75" thickBot="1">
      <c r="A7" s="352" t="s">
        <v>1679</v>
      </c>
      <c r="B7" s="353"/>
      <c r="C7" s="354">
        <f>'数据-取费表'!B2</f>
        <v>45574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1" t="s">
        <v>1680</v>
      </c>
      <c r="Q7" s="3429"/>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33" t="s">
        <v>1686</v>
      </c>
      <c r="Q9" s="530" t="str">
        <f t="shared" ref="Q9:Q14" si="6">B9</f>
        <v>用途</v>
      </c>
      <c r="R9" s="664" t="s">
        <v>14</v>
      </c>
      <c r="S9" s="665">
        <f t="shared" si="0"/>
        <v>100</v>
      </c>
      <c r="T9" s="664" t="s">
        <v>14</v>
      </c>
      <c r="U9" s="665">
        <f t="shared" si="1"/>
        <v>100</v>
      </c>
      <c r="V9" s="664" t="s">
        <v>14</v>
      </c>
      <c r="W9" s="665">
        <f t="shared" si="2"/>
        <v>100</v>
      </c>
      <c r="X9" s="666"/>
      <c r="Y9" s="332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3"/>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3"/>
      <c r="Q11" s="530">
        <f t="shared" si="6"/>
        <v>111</v>
      </c>
      <c r="R11" s="664" t="s">
        <v>14</v>
      </c>
      <c r="S11" s="665">
        <f t="shared" si="0"/>
        <v>100</v>
      </c>
      <c r="T11" s="664" t="s">
        <v>14</v>
      </c>
      <c r="U11" s="665">
        <f t="shared" si="1"/>
        <v>100</v>
      </c>
      <c r="V11" s="664" t="s">
        <v>14</v>
      </c>
      <c r="W11" s="665">
        <f t="shared" si="2"/>
        <v>100</v>
      </c>
      <c r="X11" s="666"/>
      <c r="Y11" s="332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33"/>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3"/>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4" t="s">
        <v>1691</v>
      </c>
      <c r="Q14" s="1263" t="str">
        <f t="shared" si="6"/>
        <v>交通便捷度</v>
      </c>
      <c r="R14" s="667" t="s">
        <v>14</v>
      </c>
      <c r="S14" s="668">
        <f t="shared" si="0"/>
        <v>100</v>
      </c>
      <c r="T14" s="667" t="s">
        <v>14</v>
      </c>
      <c r="U14" s="668">
        <f t="shared" si="1"/>
        <v>100</v>
      </c>
      <c r="V14" s="667" t="s">
        <v>14</v>
      </c>
      <c r="W14" s="668">
        <f t="shared" si="2"/>
        <v>100</v>
      </c>
      <c r="X14" s="1265"/>
      <c r="Y14" s="343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35"/>
      <c r="Q15" s="1263"/>
      <c r="R15" s="667"/>
      <c r="S15" s="668"/>
      <c r="T15" s="667"/>
      <c r="U15" s="668"/>
      <c r="V15" s="667"/>
      <c r="W15" s="668"/>
      <c r="X15" s="1265"/>
      <c r="Y15" s="3435"/>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5"/>
      <c r="Q16" s="1263" t="str">
        <f>B16</f>
        <v>公共配套设施</v>
      </c>
      <c r="R16" s="667" t="s">
        <v>14</v>
      </c>
      <c r="S16" s="668">
        <f>F16</f>
        <v>100</v>
      </c>
      <c r="T16" s="667" t="s">
        <v>14</v>
      </c>
      <c r="U16" s="668">
        <f>H16</f>
        <v>100</v>
      </c>
      <c r="V16" s="667" t="s">
        <v>14</v>
      </c>
      <c r="W16" s="668">
        <f>J16</f>
        <v>100</v>
      </c>
      <c r="X16" s="1265"/>
      <c r="Y16" s="343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35"/>
      <c r="Q17" s="1263"/>
      <c r="R17" s="667"/>
      <c r="S17" s="668"/>
      <c r="T17" s="667"/>
      <c r="U17" s="668"/>
      <c r="V17" s="667"/>
      <c r="W17" s="668"/>
      <c r="X17" s="1265"/>
      <c r="Y17" s="3435"/>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5"/>
      <c r="Q18" s="1263" t="str">
        <f>B18</f>
        <v>基础设施水平</v>
      </c>
      <c r="R18" s="667" t="s">
        <v>14</v>
      </c>
      <c r="S18" s="668">
        <f>F18</f>
        <v>100</v>
      </c>
      <c r="T18" s="667" t="s">
        <v>14</v>
      </c>
      <c r="U18" s="668">
        <f>H18</f>
        <v>100</v>
      </c>
      <c r="V18" s="667" t="s">
        <v>14</v>
      </c>
      <c r="W18" s="668">
        <f>J18</f>
        <v>100</v>
      </c>
      <c r="X18" s="1265"/>
      <c r="Y18" s="343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35"/>
      <c r="Q19" s="1263"/>
      <c r="R19" s="667"/>
      <c r="S19" s="668"/>
      <c r="T19" s="667"/>
      <c r="U19" s="668"/>
      <c r="V19" s="667"/>
      <c r="W19" s="668"/>
      <c r="X19" s="1265"/>
      <c r="Y19" s="3435"/>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5"/>
      <c r="Q20" s="1263" t="str">
        <f>B20</f>
        <v>自然及人文环境</v>
      </c>
      <c r="R20" s="667" t="s">
        <v>14</v>
      </c>
      <c r="S20" s="668">
        <f>F20</f>
        <v>100</v>
      </c>
      <c r="T20" s="667" t="s">
        <v>14</v>
      </c>
      <c r="U20" s="668">
        <f>H20</f>
        <v>100</v>
      </c>
      <c r="V20" s="667" t="s">
        <v>14</v>
      </c>
      <c r="W20" s="668">
        <f>J20</f>
        <v>100</v>
      </c>
      <c r="X20" s="1265"/>
      <c r="Y20" s="343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35"/>
      <c r="Q21" s="1263"/>
      <c r="R21" s="667"/>
      <c r="S21" s="668"/>
      <c r="T21" s="667"/>
      <c r="U21" s="668"/>
      <c r="V21" s="667"/>
      <c r="W21" s="668"/>
      <c r="X21" s="1265"/>
      <c r="Y21" s="343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5"/>
      <c r="Q22" s="1263" t="str">
        <f>B22</f>
        <v>楼层</v>
      </c>
      <c r="R22" s="667" t="s">
        <v>14</v>
      </c>
      <c r="S22" s="668">
        <f>F22</f>
        <v>100</v>
      </c>
      <c r="T22" s="667" t="s">
        <v>14</v>
      </c>
      <c r="U22" s="668">
        <f>H22</f>
        <v>100</v>
      </c>
      <c r="V22" s="667" t="s">
        <v>14</v>
      </c>
      <c r="W22" s="668">
        <f>J22</f>
        <v>100</v>
      </c>
      <c r="X22" s="1265"/>
      <c r="Y22" s="343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5"/>
      <c r="Q23" s="1263">
        <f>B23</f>
        <v>111</v>
      </c>
      <c r="R23" s="667" t="s">
        <v>14</v>
      </c>
      <c r="S23" s="668">
        <f>F23</f>
        <v>100</v>
      </c>
      <c r="T23" s="667" t="s">
        <v>14</v>
      </c>
      <c r="U23" s="668">
        <f>H23</f>
        <v>100</v>
      </c>
      <c r="V23" s="667" t="s">
        <v>14</v>
      </c>
      <c r="W23" s="668">
        <f>J23</f>
        <v>100</v>
      </c>
      <c r="X23" s="1265"/>
      <c r="Y23" s="343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5"/>
      <c r="Q24" s="1263">
        <f t="shared" ref="Q24:Q36" si="11">B24</f>
        <v>111</v>
      </c>
      <c r="R24" s="667" t="s">
        <v>14</v>
      </c>
      <c r="S24" s="668">
        <f>F24</f>
        <v>100</v>
      </c>
      <c r="T24" s="667" t="s">
        <v>14</v>
      </c>
      <c r="U24" s="668">
        <f>H24</f>
        <v>100</v>
      </c>
      <c r="V24" s="667" t="s">
        <v>14</v>
      </c>
      <c r="W24" s="668">
        <f>J24</f>
        <v>100</v>
      </c>
      <c r="X24" s="1265"/>
      <c r="Y24" s="343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35"/>
      <c r="Q25" s="530">
        <f t="shared" si="11"/>
        <v>111</v>
      </c>
      <c r="R25" s="664" t="s">
        <v>14</v>
      </c>
      <c r="S25" s="665">
        <f>F25</f>
        <v>100</v>
      </c>
      <c r="T25" s="664" t="s">
        <v>14</v>
      </c>
      <c r="U25" s="665">
        <f>H25</f>
        <v>100</v>
      </c>
      <c r="V25" s="664" t="s">
        <v>14</v>
      </c>
      <c r="W25" s="665">
        <f>J25</f>
        <v>100</v>
      </c>
      <c r="X25" s="666"/>
      <c r="Y25" s="3435"/>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9"/>
      <c r="Q27" s="531" t="str">
        <f t="shared" si="11"/>
        <v>项目停车位配比</v>
      </c>
      <c r="R27" s="669" t="s">
        <v>14</v>
      </c>
      <c r="S27" s="670">
        <f t="shared" si="12"/>
        <v>100</v>
      </c>
      <c r="T27" s="669" t="s">
        <v>14</v>
      </c>
      <c r="U27" s="670">
        <f t="shared" si="13"/>
        <v>100</v>
      </c>
      <c r="V27" s="669" t="s">
        <v>14</v>
      </c>
      <c r="W27" s="670">
        <f t="shared" si="14"/>
        <v>100</v>
      </c>
      <c r="X27" s="671"/>
      <c r="Y27" s="343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9"/>
      <c r="Q28" s="1263" t="str">
        <f t="shared" si="11"/>
        <v>公共部分装修</v>
      </c>
      <c r="R28" s="667" t="s">
        <v>14</v>
      </c>
      <c r="S28" s="668">
        <f t="shared" si="12"/>
        <v>100</v>
      </c>
      <c r="T28" s="667" t="s">
        <v>14</v>
      </c>
      <c r="U28" s="668">
        <f t="shared" si="13"/>
        <v>100</v>
      </c>
      <c r="V28" s="667" t="s">
        <v>14</v>
      </c>
      <c r="W28" s="668">
        <f t="shared" si="14"/>
        <v>100</v>
      </c>
      <c r="X28" s="1265"/>
      <c r="Y28" s="343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9"/>
      <c r="Q29" s="1263" t="str">
        <f t="shared" si="11"/>
        <v>成新率</v>
      </c>
      <c r="R29" s="667" t="s">
        <v>14</v>
      </c>
      <c r="S29" s="668" t="e">
        <f t="shared" si="12"/>
        <v>#N/A</v>
      </c>
      <c r="T29" s="667" t="s">
        <v>14</v>
      </c>
      <c r="U29" s="668" t="e">
        <f t="shared" si="13"/>
        <v>#N/A</v>
      </c>
      <c r="V29" s="667" t="s">
        <v>14</v>
      </c>
      <c r="W29" s="668" t="e">
        <f t="shared" si="14"/>
        <v>#N/A</v>
      </c>
      <c r="X29" s="1265"/>
      <c r="Y29" s="343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9"/>
      <c r="Q30" s="1263" t="str">
        <f t="shared" si="11"/>
        <v>物业等级</v>
      </c>
      <c r="R30" s="667" t="s">
        <v>14</v>
      </c>
      <c r="S30" s="668">
        <f t="shared" si="12"/>
        <v>100</v>
      </c>
      <c r="T30" s="667" t="s">
        <v>14</v>
      </c>
      <c r="U30" s="668">
        <f t="shared" si="13"/>
        <v>100</v>
      </c>
      <c r="V30" s="667" t="s">
        <v>14</v>
      </c>
      <c r="W30" s="668">
        <f t="shared" si="14"/>
        <v>100</v>
      </c>
      <c r="X30" s="1265"/>
      <c r="Y30" s="343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39"/>
      <c r="Q31" s="530" t="str">
        <f t="shared" si="11"/>
        <v>停车位面积</v>
      </c>
      <c r="R31" s="664" t="s">
        <v>14</v>
      </c>
      <c r="S31" s="665" t="e">
        <f t="shared" si="12"/>
        <v>#N/A</v>
      </c>
      <c r="T31" s="664" t="s">
        <v>14</v>
      </c>
      <c r="U31" s="665" t="e">
        <f t="shared" si="13"/>
        <v>#N/A</v>
      </c>
      <c r="V31" s="664" t="s">
        <v>14</v>
      </c>
      <c r="W31" s="665" t="e">
        <f t="shared" si="14"/>
        <v>#N/A</v>
      </c>
      <c r="X31" s="666"/>
      <c r="Y31" s="343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9" t="s">
        <v>1696</v>
      </c>
      <c r="Q32" s="1263" t="str">
        <f t="shared" si="11"/>
        <v>车位类型</v>
      </c>
      <c r="R32" s="667" t="s">
        <v>14</v>
      </c>
      <c r="S32" s="668">
        <f t="shared" si="12"/>
        <v>100</v>
      </c>
      <c r="T32" s="667" t="s">
        <v>14</v>
      </c>
      <c r="U32" s="668">
        <f t="shared" si="13"/>
        <v>100</v>
      </c>
      <c r="V32" s="667" t="s">
        <v>14</v>
      </c>
      <c r="W32" s="668">
        <f t="shared" si="14"/>
        <v>100</v>
      </c>
      <c r="X32" s="1265"/>
      <c r="Y32" s="343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9"/>
      <c r="Q33" s="1263" t="str">
        <f t="shared" si="11"/>
        <v>是否直接入户</v>
      </c>
      <c r="R33" s="667" t="s">
        <v>14</v>
      </c>
      <c r="S33" s="668">
        <f t="shared" si="12"/>
        <v>100</v>
      </c>
      <c r="T33" s="667" t="s">
        <v>14</v>
      </c>
      <c r="U33" s="668">
        <f t="shared" si="13"/>
        <v>100</v>
      </c>
      <c r="V33" s="667" t="s">
        <v>14</v>
      </c>
      <c r="W33" s="668">
        <f t="shared" si="14"/>
        <v>100</v>
      </c>
      <c r="X33" s="1265"/>
      <c r="Y33" s="343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9"/>
      <c r="Q34" s="1263">
        <f t="shared" si="11"/>
        <v>111</v>
      </c>
      <c r="R34" s="667" t="s">
        <v>14</v>
      </c>
      <c r="S34" s="668">
        <f t="shared" si="12"/>
        <v>100</v>
      </c>
      <c r="T34" s="667" t="s">
        <v>14</v>
      </c>
      <c r="U34" s="668">
        <f t="shared" si="13"/>
        <v>100</v>
      </c>
      <c r="V34" s="667" t="s">
        <v>14</v>
      </c>
      <c r="W34" s="668">
        <f t="shared" si="14"/>
        <v>100</v>
      </c>
      <c r="X34" s="1265"/>
      <c r="Y34" s="343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9"/>
      <c r="Q35" s="531">
        <f t="shared" si="11"/>
        <v>111</v>
      </c>
      <c r="R35" s="669" t="s">
        <v>14</v>
      </c>
      <c r="S35" s="670">
        <f t="shared" si="12"/>
        <v>100</v>
      </c>
      <c r="T35" s="669" t="s">
        <v>14</v>
      </c>
      <c r="U35" s="670">
        <f t="shared" si="13"/>
        <v>100</v>
      </c>
      <c r="V35" s="669" t="s">
        <v>14</v>
      </c>
      <c r="W35" s="670">
        <f t="shared" si="14"/>
        <v>100</v>
      </c>
      <c r="X35" s="671"/>
      <c r="Y35" s="343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9"/>
      <c r="Q36" s="1263">
        <f t="shared" si="11"/>
        <v>111</v>
      </c>
      <c r="R36" s="667" t="s">
        <v>14</v>
      </c>
      <c r="S36" s="668">
        <f t="shared" si="12"/>
        <v>100</v>
      </c>
      <c r="T36" s="667" t="s">
        <v>14</v>
      </c>
      <c r="U36" s="668">
        <f t="shared" si="13"/>
        <v>100</v>
      </c>
      <c r="V36" s="667" t="s">
        <v>14</v>
      </c>
      <c r="W36" s="668">
        <f t="shared" si="14"/>
        <v>100</v>
      </c>
      <c r="X36" s="1265"/>
      <c r="Y36" s="3439"/>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433" t="str">
        <f>A37</f>
        <v>成交单价</v>
      </c>
      <c r="Q37" s="3433"/>
      <c r="R37" s="3428">
        <f>E37</f>
        <v>0</v>
      </c>
      <c r="S37" s="3428"/>
      <c r="T37" s="3428">
        <f>G37</f>
        <v>0</v>
      </c>
      <c r="U37" s="3428"/>
      <c r="V37" s="3428">
        <f>I37</f>
        <v>0</v>
      </c>
      <c r="W37" s="3428"/>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33" t="str">
        <f>A38</f>
        <v>比较价值（元/平方米）</v>
      </c>
      <c r="Q38" s="3433"/>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30" t="str">
        <f>A39</f>
        <v>估价对象XX用房的比较价值（楼面单价，元/平方米）</v>
      </c>
      <c r="Q39" s="3431"/>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6" t="s">
        <v>1770</v>
      </c>
      <c r="D4" s="3417"/>
      <c r="E4" s="3418" t="s">
        <v>1771</v>
      </c>
      <c r="F4" s="3419"/>
      <c r="G4" s="3416" t="s">
        <v>1772</v>
      </c>
      <c r="H4" s="3417"/>
      <c r="I4" s="3416" t="s">
        <v>1773</v>
      </c>
      <c r="J4" s="3417"/>
      <c r="K4" s="537" t="s">
        <v>1774</v>
      </c>
      <c r="L4" s="2486"/>
      <c r="M4" s="2487"/>
      <c r="N4" s="2487"/>
      <c r="O4" s="2487"/>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ht="15">
      <c r="A5" s="348"/>
      <c r="B5" s="349"/>
      <c r="C5" s="3409" t="s">
        <v>1673</v>
      </c>
      <c r="D5" s="3410"/>
      <c r="E5" s="3407" t="s">
        <v>1674</v>
      </c>
      <c r="F5" s="3408"/>
      <c r="G5" s="3409" t="s">
        <v>1675</v>
      </c>
      <c r="H5" s="3410"/>
      <c r="I5" s="3409" t="s">
        <v>1676</v>
      </c>
      <c r="J5" s="3410"/>
      <c r="K5" s="537"/>
      <c r="L5" s="2486"/>
      <c r="M5" s="2487"/>
      <c r="N5" s="2487"/>
      <c r="O5" s="2487"/>
      <c r="P5" s="3422"/>
      <c r="Q5" s="3423"/>
      <c r="R5" s="3405"/>
      <c r="S5" s="3406"/>
      <c r="T5" s="3405"/>
      <c r="U5" s="3406"/>
      <c r="V5" s="3428"/>
      <c r="W5" s="3428"/>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537" t="s">
        <v>1678</v>
      </c>
      <c r="L6" s="2486"/>
      <c r="M6" s="2487"/>
      <c r="N6" s="2487"/>
      <c r="O6" s="2487"/>
      <c r="P6" s="3424"/>
      <c r="Q6" s="3425"/>
      <c r="R6" s="3405"/>
      <c r="S6" s="3406"/>
      <c r="T6" s="3426"/>
      <c r="U6" s="3427"/>
      <c r="V6" s="3428"/>
      <c r="W6" s="3428"/>
      <c r="X6" s="1265"/>
      <c r="Y6" s="3426"/>
      <c r="Z6" s="3427"/>
      <c r="AA6" s="3400"/>
      <c r="AB6" s="3400"/>
      <c r="AC6" s="3400"/>
    </row>
    <row r="7" spans="1:29" s="102" customFormat="1" ht="15.75" thickBot="1">
      <c r="A7" s="352" t="s">
        <v>1679</v>
      </c>
      <c r="B7" s="353"/>
      <c r="C7" s="354">
        <f>'数据-取费表'!B2</f>
        <v>45574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1" t="s">
        <v>1680</v>
      </c>
      <c r="Q7" s="3429"/>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33" t="s">
        <v>1686</v>
      </c>
      <c r="Q9" s="530" t="str">
        <f t="shared" ref="Q9:Q14" si="6">B9</f>
        <v>用途</v>
      </c>
      <c r="R9" s="664" t="s">
        <v>14</v>
      </c>
      <c r="S9" s="665">
        <f t="shared" si="0"/>
        <v>100</v>
      </c>
      <c r="T9" s="664" t="s">
        <v>14</v>
      </c>
      <c r="U9" s="665">
        <f t="shared" si="1"/>
        <v>100</v>
      </c>
      <c r="V9" s="664" t="s">
        <v>14</v>
      </c>
      <c r="W9" s="665">
        <f t="shared" si="2"/>
        <v>100</v>
      </c>
      <c r="X9" s="666"/>
      <c r="Y9" s="332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3"/>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3"/>
      <c r="Q11" s="530">
        <f t="shared" si="6"/>
        <v>111</v>
      </c>
      <c r="R11" s="664" t="s">
        <v>14</v>
      </c>
      <c r="S11" s="665">
        <f t="shared" si="0"/>
        <v>100</v>
      </c>
      <c r="T11" s="664" t="s">
        <v>14</v>
      </c>
      <c r="U11" s="665">
        <f t="shared" si="1"/>
        <v>100</v>
      </c>
      <c r="V11" s="664" t="s">
        <v>14</v>
      </c>
      <c r="W11" s="665">
        <f t="shared" si="2"/>
        <v>100</v>
      </c>
      <c r="X11" s="666"/>
      <c r="Y11" s="332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33"/>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33"/>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4" t="s">
        <v>1691</v>
      </c>
      <c r="Q14" s="1263" t="str">
        <f t="shared" si="6"/>
        <v>交通便捷度</v>
      </c>
      <c r="R14" s="667" t="s">
        <v>14</v>
      </c>
      <c r="S14" s="668">
        <f t="shared" si="0"/>
        <v>100</v>
      </c>
      <c r="T14" s="667" t="s">
        <v>14</v>
      </c>
      <c r="U14" s="668">
        <f t="shared" si="1"/>
        <v>100</v>
      </c>
      <c r="V14" s="667" t="s">
        <v>14</v>
      </c>
      <c r="W14" s="668">
        <f t="shared" si="2"/>
        <v>100</v>
      </c>
      <c r="X14" s="1265"/>
      <c r="Y14" s="343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35"/>
      <c r="Q15" s="1263"/>
      <c r="R15" s="667"/>
      <c r="S15" s="668"/>
      <c r="T15" s="667"/>
      <c r="U15" s="668"/>
      <c r="V15" s="667"/>
      <c r="W15" s="668"/>
      <c r="X15" s="1265"/>
      <c r="Y15" s="3435"/>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5"/>
      <c r="Q16" s="1263" t="str">
        <f>B16</f>
        <v>公共配套设施</v>
      </c>
      <c r="R16" s="667" t="s">
        <v>14</v>
      </c>
      <c r="S16" s="668">
        <f>F16</f>
        <v>100</v>
      </c>
      <c r="T16" s="667" t="s">
        <v>14</v>
      </c>
      <c r="U16" s="668">
        <f>H16</f>
        <v>100</v>
      </c>
      <c r="V16" s="667" t="s">
        <v>14</v>
      </c>
      <c r="W16" s="668">
        <f>J16</f>
        <v>100</v>
      </c>
      <c r="X16" s="1265"/>
      <c r="Y16" s="343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35"/>
      <c r="Q17" s="1263"/>
      <c r="R17" s="667"/>
      <c r="S17" s="668"/>
      <c r="T17" s="667"/>
      <c r="U17" s="668"/>
      <c r="V17" s="667"/>
      <c r="W17" s="668"/>
      <c r="X17" s="1265"/>
      <c r="Y17" s="3435"/>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5"/>
      <c r="Q18" s="1263" t="str">
        <f>B18</f>
        <v>基础设施水平</v>
      </c>
      <c r="R18" s="667" t="s">
        <v>14</v>
      </c>
      <c r="S18" s="668">
        <f>F18</f>
        <v>100</v>
      </c>
      <c r="T18" s="667" t="s">
        <v>14</v>
      </c>
      <c r="U18" s="668">
        <f>H18</f>
        <v>100</v>
      </c>
      <c r="V18" s="667" t="s">
        <v>14</v>
      </c>
      <c r="W18" s="668">
        <f>J18</f>
        <v>100</v>
      </c>
      <c r="X18" s="1265"/>
      <c r="Y18" s="343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35"/>
      <c r="Q19" s="1263"/>
      <c r="R19" s="667"/>
      <c r="S19" s="668"/>
      <c r="T19" s="667"/>
      <c r="U19" s="668"/>
      <c r="V19" s="667"/>
      <c r="W19" s="668"/>
      <c r="X19" s="1265"/>
      <c r="Y19" s="3435"/>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5"/>
      <c r="Q20" s="1263" t="str">
        <f>B20</f>
        <v>自然及人文环境</v>
      </c>
      <c r="R20" s="667" t="s">
        <v>14</v>
      </c>
      <c r="S20" s="668">
        <f>F20</f>
        <v>100</v>
      </c>
      <c r="T20" s="667" t="s">
        <v>14</v>
      </c>
      <c r="U20" s="668">
        <f>H20</f>
        <v>100</v>
      </c>
      <c r="V20" s="667" t="s">
        <v>14</v>
      </c>
      <c r="W20" s="668">
        <f>J20</f>
        <v>100</v>
      </c>
      <c r="X20" s="1265"/>
      <c r="Y20" s="343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35"/>
      <c r="Q21" s="1263"/>
      <c r="R21" s="667"/>
      <c r="S21" s="668"/>
      <c r="T21" s="667"/>
      <c r="U21" s="668"/>
      <c r="V21" s="667"/>
      <c r="W21" s="668"/>
      <c r="X21" s="1265"/>
      <c r="Y21" s="343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5"/>
      <c r="Q22" s="1263" t="str">
        <f>B22</f>
        <v>楼层</v>
      </c>
      <c r="R22" s="667" t="s">
        <v>14</v>
      </c>
      <c r="S22" s="668">
        <f>F22</f>
        <v>100</v>
      </c>
      <c r="T22" s="667" t="s">
        <v>14</v>
      </c>
      <c r="U22" s="668">
        <f>H22</f>
        <v>100</v>
      </c>
      <c r="V22" s="667" t="s">
        <v>14</v>
      </c>
      <c r="W22" s="668">
        <f>J22</f>
        <v>100</v>
      </c>
      <c r="X22" s="1265"/>
      <c r="Y22" s="343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5"/>
      <c r="Q23" s="1263">
        <f>B23</f>
        <v>111</v>
      </c>
      <c r="R23" s="667" t="s">
        <v>14</v>
      </c>
      <c r="S23" s="668">
        <f>F23</f>
        <v>100</v>
      </c>
      <c r="T23" s="667" t="s">
        <v>14</v>
      </c>
      <c r="U23" s="668">
        <f>H23</f>
        <v>100</v>
      </c>
      <c r="V23" s="667" t="s">
        <v>14</v>
      </c>
      <c r="W23" s="668">
        <f>J23</f>
        <v>100</v>
      </c>
      <c r="X23" s="1265"/>
      <c r="Y23" s="343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5"/>
      <c r="Q24" s="1263">
        <f t="shared" ref="Q24:Q34" si="11">B24</f>
        <v>111</v>
      </c>
      <c r="R24" s="667" t="s">
        <v>14</v>
      </c>
      <c r="S24" s="668">
        <f>F24</f>
        <v>100</v>
      </c>
      <c r="T24" s="667" t="s">
        <v>14</v>
      </c>
      <c r="U24" s="668">
        <f>H24</f>
        <v>100</v>
      </c>
      <c r="V24" s="667" t="s">
        <v>14</v>
      </c>
      <c r="W24" s="668">
        <f>J24</f>
        <v>100</v>
      </c>
      <c r="X24" s="1265"/>
      <c r="Y24" s="3435"/>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35"/>
      <c r="Q25" s="530">
        <f t="shared" si="11"/>
        <v>111</v>
      </c>
      <c r="R25" s="664" t="s">
        <v>14</v>
      </c>
      <c r="S25" s="665">
        <f>F25</f>
        <v>100</v>
      </c>
      <c r="T25" s="664" t="s">
        <v>14</v>
      </c>
      <c r="U25" s="665">
        <f>H25</f>
        <v>100</v>
      </c>
      <c r="V25" s="664" t="s">
        <v>14</v>
      </c>
      <c r="W25" s="665">
        <f>J25</f>
        <v>100</v>
      </c>
      <c r="X25" s="666"/>
      <c r="Y25" s="3435"/>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9"/>
      <c r="Q27" s="531" t="str">
        <f t="shared" si="11"/>
        <v>成新率</v>
      </c>
      <c r="R27" s="669" t="s">
        <v>14</v>
      </c>
      <c r="S27" s="670" t="e">
        <f t="shared" si="12"/>
        <v>#N/A</v>
      </c>
      <c r="T27" s="669" t="s">
        <v>14</v>
      </c>
      <c r="U27" s="670" t="e">
        <f t="shared" si="13"/>
        <v>#N/A</v>
      </c>
      <c r="V27" s="669" t="s">
        <v>14</v>
      </c>
      <c r="W27" s="670" t="e">
        <f t="shared" si="14"/>
        <v>#N/A</v>
      </c>
      <c r="X27" s="671"/>
      <c r="Y27" s="343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9"/>
      <c r="Q28" s="1263" t="str">
        <f t="shared" si="11"/>
        <v>物业等级</v>
      </c>
      <c r="R28" s="667" t="s">
        <v>14</v>
      </c>
      <c r="S28" s="668">
        <f t="shared" si="12"/>
        <v>100</v>
      </c>
      <c r="T28" s="667" t="s">
        <v>14</v>
      </c>
      <c r="U28" s="668">
        <f t="shared" si="13"/>
        <v>100</v>
      </c>
      <c r="V28" s="667" t="s">
        <v>14</v>
      </c>
      <c r="W28" s="668">
        <f t="shared" si="14"/>
        <v>100</v>
      </c>
      <c r="X28" s="1265"/>
      <c r="Y28" s="343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9"/>
      <c r="Q29" s="1263" t="str">
        <f t="shared" si="11"/>
        <v>有无电梯</v>
      </c>
      <c r="R29" s="667" t="s">
        <v>14</v>
      </c>
      <c r="S29" s="668">
        <f t="shared" si="12"/>
        <v>100</v>
      </c>
      <c r="T29" s="667" t="s">
        <v>14</v>
      </c>
      <c r="U29" s="668">
        <f t="shared" si="13"/>
        <v>100</v>
      </c>
      <c r="V29" s="667" t="s">
        <v>14</v>
      </c>
      <c r="W29" s="668">
        <f t="shared" si="14"/>
        <v>100</v>
      </c>
      <c r="X29" s="1265"/>
      <c r="Y29" s="343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9"/>
      <c r="Q30" s="1263" t="str">
        <f t="shared" si="11"/>
        <v>建筑面积</v>
      </c>
      <c r="R30" s="667" t="s">
        <v>14</v>
      </c>
      <c r="S30" s="668" t="e">
        <f t="shared" si="12"/>
        <v>#N/A</v>
      </c>
      <c r="T30" s="667" t="s">
        <v>14</v>
      </c>
      <c r="U30" s="668" t="e">
        <f t="shared" si="13"/>
        <v>#N/A</v>
      </c>
      <c r="V30" s="667" t="s">
        <v>14</v>
      </c>
      <c r="W30" s="668" t="e">
        <f t="shared" si="14"/>
        <v>#N/A</v>
      </c>
      <c r="X30" s="1265"/>
      <c r="Y30" s="343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39"/>
      <c r="Q31" s="530" t="str">
        <f t="shared" si="11"/>
        <v>是否封闭</v>
      </c>
      <c r="R31" s="664" t="s">
        <v>14</v>
      </c>
      <c r="S31" s="665">
        <f t="shared" si="12"/>
        <v>100</v>
      </c>
      <c r="T31" s="664" t="s">
        <v>14</v>
      </c>
      <c r="U31" s="665">
        <f t="shared" si="13"/>
        <v>100</v>
      </c>
      <c r="V31" s="664" t="s">
        <v>14</v>
      </c>
      <c r="W31" s="665">
        <f t="shared" si="14"/>
        <v>100</v>
      </c>
      <c r="X31" s="666"/>
      <c r="Y31" s="343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9" t="s">
        <v>1696</v>
      </c>
      <c r="Q32" s="1263">
        <f t="shared" si="11"/>
        <v>111</v>
      </c>
      <c r="R32" s="667" t="s">
        <v>14</v>
      </c>
      <c r="S32" s="668">
        <f t="shared" si="12"/>
        <v>100</v>
      </c>
      <c r="T32" s="667" t="s">
        <v>14</v>
      </c>
      <c r="U32" s="668">
        <f t="shared" si="13"/>
        <v>100</v>
      </c>
      <c r="V32" s="667" t="s">
        <v>14</v>
      </c>
      <c r="W32" s="668">
        <f t="shared" si="14"/>
        <v>100</v>
      </c>
      <c r="X32" s="1265"/>
      <c r="Y32" s="343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9"/>
      <c r="Q33" s="1263">
        <f t="shared" si="11"/>
        <v>111</v>
      </c>
      <c r="R33" s="667" t="s">
        <v>14</v>
      </c>
      <c r="S33" s="668">
        <f t="shared" si="12"/>
        <v>100</v>
      </c>
      <c r="T33" s="667" t="s">
        <v>14</v>
      </c>
      <c r="U33" s="668">
        <f t="shared" si="13"/>
        <v>100</v>
      </c>
      <c r="V33" s="667" t="s">
        <v>14</v>
      </c>
      <c r="W33" s="668">
        <f t="shared" si="14"/>
        <v>100</v>
      </c>
      <c r="X33" s="1265"/>
      <c r="Y33" s="3439"/>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39"/>
      <c r="Q34" s="1263">
        <f t="shared" si="11"/>
        <v>111</v>
      </c>
      <c r="R34" s="667" t="s">
        <v>14</v>
      </c>
      <c r="S34" s="668">
        <f t="shared" si="12"/>
        <v>100</v>
      </c>
      <c r="T34" s="667" t="s">
        <v>14</v>
      </c>
      <c r="U34" s="668">
        <f t="shared" si="13"/>
        <v>100</v>
      </c>
      <c r="V34" s="667" t="s">
        <v>14</v>
      </c>
      <c r="W34" s="668">
        <f t="shared" si="14"/>
        <v>100</v>
      </c>
      <c r="X34" s="1265"/>
      <c r="Y34" s="343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33" t="str">
        <f>A35</f>
        <v>成交单价（元/平方米）</v>
      </c>
      <c r="Q35" s="3433"/>
      <c r="R35" s="3428">
        <f>E35</f>
        <v>0</v>
      </c>
      <c r="S35" s="3428"/>
      <c r="T35" s="3428">
        <f>G35</f>
        <v>0</v>
      </c>
      <c r="U35" s="3428"/>
      <c r="V35" s="3428">
        <f>I35</f>
        <v>0</v>
      </c>
      <c r="W35" s="3428"/>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33" t="str">
        <f>A36</f>
        <v>比较价值（元/平方米）</v>
      </c>
      <c r="Q36" s="3433"/>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30" t="str">
        <f>A37</f>
        <v>估价对象XX用房的比较价值（楼面单价，元/平方米）</v>
      </c>
      <c r="Q37" s="3431"/>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6" t="s">
        <v>1770</v>
      </c>
      <c r="D4" s="3417"/>
      <c r="E4" s="3418" t="s">
        <v>1771</v>
      </c>
      <c r="F4" s="3419"/>
      <c r="G4" s="3416" t="s">
        <v>1772</v>
      </c>
      <c r="H4" s="3417"/>
      <c r="I4" s="3416" t="s">
        <v>1773</v>
      </c>
      <c r="J4" s="3417"/>
      <c r="K4" s="537" t="s">
        <v>1774</v>
      </c>
      <c r="L4" s="2486"/>
      <c r="M4" s="2487"/>
      <c r="N4" s="2487"/>
      <c r="O4" s="2487"/>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ht="15">
      <c r="A5" s="348"/>
      <c r="B5" s="349"/>
      <c r="C5" s="3409" t="s">
        <v>1673</v>
      </c>
      <c r="D5" s="3410"/>
      <c r="E5" s="3407" t="s">
        <v>1674</v>
      </c>
      <c r="F5" s="3408"/>
      <c r="G5" s="3409" t="s">
        <v>1675</v>
      </c>
      <c r="H5" s="3410"/>
      <c r="I5" s="3409" t="s">
        <v>1676</v>
      </c>
      <c r="J5" s="3410"/>
      <c r="K5" s="537"/>
      <c r="L5" s="2486"/>
      <c r="M5" s="2487"/>
      <c r="N5" s="2487"/>
      <c r="O5" s="2487"/>
      <c r="P5" s="3422"/>
      <c r="Q5" s="3423"/>
      <c r="R5" s="3405"/>
      <c r="S5" s="3406"/>
      <c r="T5" s="3405"/>
      <c r="U5" s="3406"/>
      <c r="V5" s="3428"/>
      <c r="W5" s="3428"/>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537" t="s">
        <v>1678</v>
      </c>
      <c r="L6" s="2486"/>
      <c r="M6" s="2487"/>
      <c r="N6" s="2487"/>
      <c r="O6" s="2487"/>
      <c r="P6" s="3424"/>
      <c r="Q6" s="3425"/>
      <c r="R6" s="3405"/>
      <c r="S6" s="3406"/>
      <c r="T6" s="3426"/>
      <c r="U6" s="3427"/>
      <c r="V6" s="3428"/>
      <c r="W6" s="3428"/>
      <c r="X6" s="1265"/>
      <c r="Y6" s="3426"/>
      <c r="Z6" s="3427"/>
      <c r="AA6" s="3400"/>
      <c r="AB6" s="3400"/>
      <c r="AC6" s="3400"/>
    </row>
    <row r="7" spans="1:29" s="102" customFormat="1" ht="15.75" thickBot="1">
      <c r="A7" s="352" t="s">
        <v>1679</v>
      </c>
      <c r="B7" s="353"/>
      <c r="C7" s="354">
        <f>'数据-取费表'!B2</f>
        <v>45574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1" t="s">
        <v>1680</v>
      </c>
      <c r="Q7" s="3429"/>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33"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104</v>
      </c>
      <c r="G10" s="402"/>
      <c r="H10" s="119">
        <f>ROUND(100/'数据-取费表'!G16,0)</f>
        <v>104</v>
      </c>
      <c r="I10" s="402"/>
      <c r="J10" s="119">
        <f>ROUND(100/'数据-取费表'!G16,0)</f>
        <v>104</v>
      </c>
      <c r="K10" s="592"/>
      <c r="L10" s="2489"/>
      <c r="M10" s="2490"/>
      <c r="N10" s="2490"/>
      <c r="O10" s="2541"/>
      <c r="P10" s="3433"/>
      <c r="Q10" s="530" t="str">
        <f t="shared" si="6"/>
        <v>土地使用年限（年）</v>
      </c>
      <c r="R10" s="664" t="s">
        <v>14</v>
      </c>
      <c r="S10" s="665">
        <f t="shared" si="0"/>
        <v>104</v>
      </c>
      <c r="T10" s="664" t="s">
        <v>14</v>
      </c>
      <c r="U10" s="665">
        <f t="shared" si="1"/>
        <v>104</v>
      </c>
      <c r="V10" s="664" t="s">
        <v>14</v>
      </c>
      <c r="W10" s="665">
        <f t="shared" si="2"/>
        <v>104</v>
      </c>
      <c r="X10" s="666"/>
      <c r="Y10" s="3326"/>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3"/>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33"/>
      <c r="Q12" s="530" t="str">
        <f t="shared" si="6"/>
        <v>配建</v>
      </c>
      <c r="R12" s="664" t="s">
        <v>14</v>
      </c>
      <c r="S12" s="665">
        <f t="shared" si="0"/>
        <v>100</v>
      </c>
      <c r="T12" s="664" t="s">
        <v>14</v>
      </c>
      <c r="U12" s="665">
        <f t="shared" si="1"/>
        <v>100</v>
      </c>
      <c r="V12" s="664" t="s">
        <v>14</v>
      </c>
      <c r="W12" s="665">
        <f t="shared" si="2"/>
        <v>100</v>
      </c>
      <c r="X12" s="666"/>
      <c r="Y12" s="332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3"/>
      <c r="Q13" s="530">
        <f t="shared" si="6"/>
        <v>111</v>
      </c>
      <c r="R13" s="664" t="s">
        <v>14</v>
      </c>
      <c r="S13" s="665">
        <f t="shared" si="0"/>
        <v>100</v>
      </c>
      <c r="T13" s="664" t="s">
        <v>14</v>
      </c>
      <c r="U13" s="665">
        <f t="shared" si="1"/>
        <v>100</v>
      </c>
      <c r="V13" s="664" t="s">
        <v>14</v>
      </c>
      <c r="W13" s="665">
        <f t="shared" si="2"/>
        <v>100</v>
      </c>
      <c r="X13" s="666"/>
      <c r="Y13" s="332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3"/>
      <c r="Q14" s="530">
        <f t="shared" si="6"/>
        <v>111</v>
      </c>
      <c r="R14" s="664" t="s">
        <v>14</v>
      </c>
      <c r="S14" s="665">
        <f t="shared" si="0"/>
        <v>100</v>
      </c>
      <c r="T14" s="664" t="s">
        <v>14</v>
      </c>
      <c r="U14" s="665">
        <f t="shared" si="1"/>
        <v>100</v>
      </c>
      <c r="V14" s="664" t="s">
        <v>14</v>
      </c>
      <c r="W14" s="665">
        <f t="shared" si="2"/>
        <v>100</v>
      </c>
      <c r="X14" s="666"/>
      <c r="Y14" s="3326"/>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4" t="s">
        <v>1691</v>
      </c>
      <c r="Q15" s="1263" t="str">
        <f t="shared" si="6"/>
        <v>居住社区成熟度</v>
      </c>
      <c r="R15" s="667" t="s">
        <v>14</v>
      </c>
      <c r="S15" s="668">
        <f t="shared" si="0"/>
        <v>100</v>
      </c>
      <c r="T15" s="667" t="s">
        <v>14</v>
      </c>
      <c r="U15" s="668">
        <f t="shared" si="1"/>
        <v>100</v>
      </c>
      <c r="V15" s="667" t="s">
        <v>14</v>
      </c>
      <c r="W15" s="668">
        <f t="shared" si="2"/>
        <v>100</v>
      </c>
      <c r="X15" s="1265"/>
      <c r="Y15" s="343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35"/>
      <c r="Q16" s="1263"/>
      <c r="R16" s="667"/>
      <c r="S16" s="668"/>
      <c r="T16" s="667"/>
      <c r="U16" s="668"/>
      <c r="V16" s="667"/>
      <c r="W16" s="668"/>
      <c r="X16" s="1265"/>
      <c r="Y16" s="3435"/>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5"/>
      <c r="Q17" s="1263" t="str">
        <f>B17</f>
        <v>商业繁华度</v>
      </c>
      <c r="R17" s="667" t="s">
        <v>14</v>
      </c>
      <c r="S17" s="668">
        <f>F17</f>
        <v>100</v>
      </c>
      <c r="T17" s="667" t="s">
        <v>14</v>
      </c>
      <c r="U17" s="668">
        <f>H17</f>
        <v>100</v>
      </c>
      <c r="V17" s="667" t="s">
        <v>14</v>
      </c>
      <c r="W17" s="668">
        <f>J17</f>
        <v>100</v>
      </c>
      <c r="X17" s="1265"/>
      <c r="Y17" s="343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35"/>
      <c r="Q18" s="1263"/>
      <c r="R18" s="667"/>
      <c r="S18" s="668"/>
      <c r="T18" s="667"/>
      <c r="U18" s="668"/>
      <c r="V18" s="667"/>
      <c r="W18" s="668"/>
      <c r="X18" s="1265"/>
      <c r="Y18" s="3435"/>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5"/>
      <c r="Q19" s="1263" t="str">
        <f>B19</f>
        <v>办公集聚程度</v>
      </c>
      <c r="R19" s="667" t="s">
        <v>14</v>
      </c>
      <c r="S19" s="668">
        <f>F19</f>
        <v>100</v>
      </c>
      <c r="T19" s="667" t="s">
        <v>14</v>
      </c>
      <c r="U19" s="668">
        <f>H19</f>
        <v>100</v>
      </c>
      <c r="V19" s="667" t="s">
        <v>14</v>
      </c>
      <c r="W19" s="668">
        <f>J19</f>
        <v>100</v>
      </c>
      <c r="X19" s="1265"/>
      <c r="Y19" s="343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35"/>
      <c r="Q20" s="1263"/>
      <c r="R20" s="667"/>
      <c r="S20" s="668"/>
      <c r="T20" s="667"/>
      <c r="U20" s="668"/>
      <c r="V20" s="667"/>
      <c r="W20" s="668"/>
      <c r="X20" s="1265"/>
      <c r="Y20" s="3435"/>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5"/>
      <c r="Q21" s="1263" t="str">
        <f>B21</f>
        <v>交通便捷度</v>
      </c>
      <c r="R21" s="667" t="s">
        <v>14</v>
      </c>
      <c r="S21" s="668">
        <f>F21</f>
        <v>100</v>
      </c>
      <c r="T21" s="667" t="s">
        <v>14</v>
      </c>
      <c r="U21" s="668">
        <f>H21</f>
        <v>100</v>
      </c>
      <c r="V21" s="667" t="s">
        <v>14</v>
      </c>
      <c r="W21" s="668">
        <f>J21</f>
        <v>100</v>
      </c>
      <c r="X21" s="1265"/>
      <c r="Y21" s="343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35"/>
      <c r="Q22" s="1263"/>
      <c r="R22" s="667"/>
      <c r="S22" s="668"/>
      <c r="T22" s="667"/>
      <c r="U22" s="668"/>
      <c r="V22" s="667"/>
      <c r="W22" s="668"/>
      <c r="X22" s="1265"/>
      <c r="Y22" s="343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5"/>
      <c r="Q23" s="1263" t="str">
        <f t="shared" ref="Q23:Q37" si="8">B23</f>
        <v>区域土地利用方向</v>
      </c>
      <c r="R23" s="667" t="s">
        <v>14</v>
      </c>
      <c r="S23" s="668">
        <f>F23</f>
        <v>100</v>
      </c>
      <c r="T23" s="667" t="s">
        <v>14</v>
      </c>
      <c r="U23" s="668">
        <f>H23</f>
        <v>100</v>
      </c>
      <c r="V23" s="667" t="s">
        <v>14</v>
      </c>
      <c r="W23" s="668">
        <f>J23</f>
        <v>100</v>
      </c>
      <c r="X23" s="1265"/>
      <c r="Y23" s="343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35"/>
      <c r="Q24" s="1263"/>
      <c r="R24" s="667"/>
      <c r="S24" s="668"/>
      <c r="T24" s="667"/>
      <c r="U24" s="668"/>
      <c r="V24" s="667"/>
      <c r="W24" s="668"/>
      <c r="X24" s="1265"/>
      <c r="Y24" s="3435"/>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5"/>
      <c r="Q25" s="1263" t="str">
        <f t="shared" si="8"/>
        <v>自然及人文环境状况</v>
      </c>
      <c r="R25" s="667" t="s">
        <v>14</v>
      </c>
      <c r="S25" s="668">
        <f>F25</f>
        <v>100</v>
      </c>
      <c r="T25" s="667" t="s">
        <v>14</v>
      </c>
      <c r="U25" s="668">
        <f>H25</f>
        <v>100</v>
      </c>
      <c r="V25" s="667" t="s">
        <v>14</v>
      </c>
      <c r="W25" s="668">
        <f>J25</f>
        <v>100</v>
      </c>
      <c r="X25" s="1265"/>
      <c r="Y25" s="343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35"/>
      <c r="Q26" s="1263"/>
      <c r="R26" s="667"/>
      <c r="S26" s="668"/>
      <c r="T26" s="667"/>
      <c r="U26" s="668"/>
      <c r="V26" s="667"/>
      <c r="W26" s="668"/>
      <c r="X26" s="1265"/>
      <c r="Y26" s="3435"/>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35"/>
      <c r="Q27" s="530" t="str">
        <f t="shared" si="8"/>
        <v>公共配套设施</v>
      </c>
      <c r="R27" s="664" t="s">
        <v>14</v>
      </c>
      <c r="S27" s="665">
        <f>F27</f>
        <v>100</v>
      </c>
      <c r="T27" s="664" t="s">
        <v>14</v>
      </c>
      <c r="U27" s="665">
        <f>H27</f>
        <v>100</v>
      </c>
      <c r="V27" s="664" t="s">
        <v>14</v>
      </c>
      <c r="W27" s="665">
        <f>J27</f>
        <v>100</v>
      </c>
      <c r="X27" s="666"/>
      <c r="Y27" s="3435"/>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35"/>
      <c r="Q28" s="530"/>
      <c r="R28" s="664"/>
      <c r="S28" s="665"/>
      <c r="T28" s="664"/>
      <c r="U28" s="665"/>
      <c r="V28" s="664"/>
      <c r="W28" s="665"/>
      <c r="X28" s="666"/>
      <c r="Y28" s="3435"/>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35"/>
      <c r="Q29" s="530" t="str">
        <f t="shared" ref="Q29" si="9">B29</f>
        <v>基础设施水平</v>
      </c>
      <c r="R29" s="664" t="s">
        <v>14</v>
      </c>
      <c r="S29" s="665">
        <f>F29</f>
        <v>100</v>
      </c>
      <c r="T29" s="664" t="s">
        <v>14</v>
      </c>
      <c r="U29" s="665">
        <f>H29</f>
        <v>100</v>
      </c>
      <c r="V29" s="664" t="s">
        <v>14</v>
      </c>
      <c r="W29" s="665">
        <f>J29</f>
        <v>100</v>
      </c>
      <c r="X29" s="666"/>
      <c r="Y29" s="343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35"/>
      <c r="Q30" s="530"/>
      <c r="R30" s="664"/>
      <c r="S30" s="665"/>
      <c r="T30" s="664"/>
      <c r="U30" s="665"/>
      <c r="V30" s="664"/>
      <c r="W30" s="665"/>
      <c r="X30" s="666"/>
      <c r="Y30" s="343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5"/>
      <c r="Q32" s="1263" t="str">
        <f t="shared" si="8"/>
        <v>毗邻道路的类型与等级</v>
      </c>
      <c r="R32" s="667" t="s">
        <v>14</v>
      </c>
      <c r="S32" s="668">
        <f t="shared" si="10"/>
        <v>100</v>
      </c>
      <c r="T32" s="667" t="s">
        <v>14</v>
      </c>
      <c r="U32" s="668">
        <f t="shared" si="11"/>
        <v>100</v>
      </c>
      <c r="V32" s="667" t="s">
        <v>14</v>
      </c>
      <c r="W32" s="668">
        <f t="shared" si="12"/>
        <v>100</v>
      </c>
      <c r="X32" s="1265"/>
      <c r="Y32" s="343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35"/>
      <c r="Q33" s="1263"/>
      <c r="R33" s="667"/>
      <c r="S33" s="668"/>
      <c r="T33" s="667"/>
      <c r="U33" s="668"/>
      <c r="V33" s="667"/>
      <c r="W33" s="668"/>
      <c r="X33" s="1265"/>
      <c r="Y33" s="343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5"/>
      <c r="Q34" s="1263" t="str">
        <f t="shared" si="8"/>
        <v>土地级别</v>
      </c>
      <c r="R34" s="667" t="s">
        <v>14</v>
      </c>
      <c r="S34" s="668">
        <f t="shared" si="10"/>
        <v>100</v>
      </c>
      <c r="T34" s="667" t="s">
        <v>14</v>
      </c>
      <c r="U34" s="668">
        <f t="shared" si="11"/>
        <v>100</v>
      </c>
      <c r="V34" s="667" t="s">
        <v>14</v>
      </c>
      <c r="W34" s="668">
        <f t="shared" si="12"/>
        <v>100</v>
      </c>
      <c r="X34" s="1265"/>
      <c r="Y34" s="343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5"/>
      <c r="Q35" s="1263">
        <f t="shared" si="8"/>
        <v>111</v>
      </c>
      <c r="R35" s="667" t="s">
        <v>14</v>
      </c>
      <c r="S35" s="668">
        <f t="shared" si="10"/>
        <v>100</v>
      </c>
      <c r="T35" s="667" t="s">
        <v>14</v>
      </c>
      <c r="U35" s="668">
        <f t="shared" si="11"/>
        <v>100</v>
      </c>
      <c r="V35" s="667" t="s">
        <v>14</v>
      </c>
      <c r="W35" s="668">
        <f t="shared" si="12"/>
        <v>100</v>
      </c>
      <c r="X35" s="1265"/>
      <c r="Y35" s="343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8" t="s">
        <v>1696</v>
      </c>
      <c r="Q36" s="1263">
        <f t="shared" si="8"/>
        <v>111</v>
      </c>
      <c r="R36" s="667" t="s">
        <v>14</v>
      </c>
      <c r="S36" s="668">
        <f t="shared" si="10"/>
        <v>100</v>
      </c>
      <c r="T36" s="667" t="s">
        <v>14</v>
      </c>
      <c r="U36" s="668">
        <f t="shared" si="11"/>
        <v>100</v>
      </c>
      <c r="V36" s="667" t="s">
        <v>14</v>
      </c>
      <c r="W36" s="668">
        <f t="shared" si="12"/>
        <v>100</v>
      </c>
      <c r="X36" s="1265"/>
      <c r="Y36" s="343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9"/>
      <c r="Q37" s="1263">
        <f t="shared" si="8"/>
        <v>111</v>
      </c>
      <c r="R37" s="669" t="s">
        <v>14</v>
      </c>
      <c r="S37" s="670">
        <f t="shared" si="10"/>
        <v>100</v>
      </c>
      <c r="T37" s="669" t="s">
        <v>14</v>
      </c>
      <c r="U37" s="670">
        <f t="shared" si="11"/>
        <v>100</v>
      </c>
      <c r="V37" s="669" t="s">
        <v>14</v>
      </c>
      <c r="W37" s="670">
        <f t="shared" si="12"/>
        <v>100</v>
      </c>
      <c r="X37" s="671"/>
      <c r="Y37" s="343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9"/>
      <c r="Q38" s="1263" t="str">
        <f>B38</f>
        <v>宗地面积</v>
      </c>
      <c r="R38" s="667" t="s">
        <v>14</v>
      </c>
      <c r="S38" s="668" t="e">
        <f t="shared" si="10"/>
        <v>#N/A</v>
      </c>
      <c r="T38" s="667" t="s">
        <v>14</v>
      </c>
      <c r="U38" s="668" t="e">
        <f t="shared" si="11"/>
        <v>#N/A</v>
      </c>
      <c r="V38" s="667" t="s">
        <v>14</v>
      </c>
      <c r="W38" s="668" t="e">
        <f t="shared" si="12"/>
        <v>#N/A</v>
      </c>
      <c r="X38" s="1265"/>
      <c r="Y38" s="343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39"/>
      <c r="Q39" s="1263" t="str">
        <f t="shared" ref="Q39:Q45" si="14">B39</f>
        <v>宗地形状</v>
      </c>
      <c r="R39" s="667" t="s">
        <v>14</v>
      </c>
      <c r="S39" s="668">
        <f t="shared" si="10"/>
        <v>100</v>
      </c>
      <c r="T39" s="667" t="s">
        <v>14</v>
      </c>
      <c r="U39" s="668">
        <f t="shared" si="11"/>
        <v>100</v>
      </c>
      <c r="V39" s="667" t="s">
        <v>14</v>
      </c>
      <c r="W39" s="668">
        <f t="shared" si="12"/>
        <v>100</v>
      </c>
      <c r="X39" s="1265"/>
      <c r="Y39" s="343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39"/>
      <c r="Q40" s="1263" t="str">
        <f t="shared" si="14"/>
        <v>临街宽度及深度</v>
      </c>
      <c r="R40" s="667" t="s">
        <v>14</v>
      </c>
      <c r="S40" s="668">
        <f t="shared" si="10"/>
        <v>100</v>
      </c>
      <c r="T40" s="667" t="s">
        <v>14</v>
      </c>
      <c r="U40" s="668">
        <f t="shared" si="11"/>
        <v>100</v>
      </c>
      <c r="V40" s="667" t="s">
        <v>14</v>
      </c>
      <c r="W40" s="668">
        <f t="shared" si="12"/>
        <v>100</v>
      </c>
      <c r="X40" s="1265"/>
      <c r="Y40" s="343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39"/>
      <c r="Q41" s="1263" t="str">
        <f t="shared" si="14"/>
        <v>宗地开发程度</v>
      </c>
      <c r="R41" s="664" t="s">
        <v>14</v>
      </c>
      <c r="S41" s="665">
        <f t="shared" si="10"/>
        <v>100</v>
      </c>
      <c r="T41" s="664" t="s">
        <v>14</v>
      </c>
      <c r="U41" s="665">
        <f t="shared" si="11"/>
        <v>100</v>
      </c>
      <c r="V41" s="664" t="s">
        <v>14</v>
      </c>
      <c r="W41" s="665">
        <f t="shared" si="12"/>
        <v>100</v>
      </c>
      <c r="X41" s="666"/>
      <c r="Y41" s="343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39" t="s">
        <v>1696</v>
      </c>
      <c r="Q42" s="1263" t="str">
        <f t="shared" si="14"/>
        <v>工程地质条件</v>
      </c>
      <c r="R42" s="667" t="s">
        <v>14</v>
      </c>
      <c r="S42" s="668">
        <f t="shared" si="10"/>
        <v>100</v>
      </c>
      <c r="T42" s="667" t="s">
        <v>14</v>
      </c>
      <c r="U42" s="668">
        <f t="shared" si="11"/>
        <v>100</v>
      </c>
      <c r="V42" s="667" t="s">
        <v>14</v>
      </c>
      <c r="W42" s="668">
        <f t="shared" si="12"/>
        <v>100</v>
      </c>
      <c r="X42" s="1265"/>
      <c r="Y42" s="343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9"/>
      <c r="Q43" s="1263">
        <f t="shared" si="14"/>
        <v>111</v>
      </c>
      <c r="R43" s="667" t="s">
        <v>14</v>
      </c>
      <c r="S43" s="668">
        <f t="shared" si="10"/>
        <v>100</v>
      </c>
      <c r="T43" s="667" t="s">
        <v>14</v>
      </c>
      <c r="U43" s="668">
        <f t="shared" si="11"/>
        <v>100</v>
      </c>
      <c r="V43" s="667" t="s">
        <v>14</v>
      </c>
      <c r="W43" s="668">
        <f t="shared" si="12"/>
        <v>100</v>
      </c>
      <c r="X43" s="1265"/>
      <c r="Y43" s="343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9"/>
      <c r="Q44" s="1263">
        <f t="shared" si="14"/>
        <v>111</v>
      </c>
      <c r="R44" s="667" t="s">
        <v>14</v>
      </c>
      <c r="S44" s="668">
        <f t="shared" si="10"/>
        <v>100</v>
      </c>
      <c r="T44" s="667" t="s">
        <v>14</v>
      </c>
      <c r="U44" s="668">
        <f t="shared" si="11"/>
        <v>100</v>
      </c>
      <c r="V44" s="667" t="s">
        <v>14</v>
      </c>
      <c r="W44" s="668">
        <f t="shared" si="12"/>
        <v>100</v>
      </c>
      <c r="X44" s="1265"/>
      <c r="Y44" s="3439"/>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9"/>
      <c r="Q45" s="1263">
        <f t="shared" si="14"/>
        <v>111</v>
      </c>
      <c r="R45" s="669" t="s">
        <v>14</v>
      </c>
      <c r="S45" s="670">
        <f t="shared" si="10"/>
        <v>100</v>
      </c>
      <c r="T45" s="669" t="s">
        <v>14</v>
      </c>
      <c r="U45" s="670">
        <f t="shared" si="11"/>
        <v>100</v>
      </c>
      <c r="V45" s="669" t="s">
        <v>14</v>
      </c>
      <c r="W45" s="670">
        <f t="shared" si="12"/>
        <v>100</v>
      </c>
      <c r="X45" s="671"/>
      <c r="Y45" s="3439"/>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33" t="str">
        <f>A46</f>
        <v>成交单价</v>
      </c>
      <c r="Q46" s="3433"/>
      <c r="R46" s="3428">
        <f>E46</f>
        <v>0</v>
      </c>
      <c r="S46" s="3428"/>
      <c r="T46" s="3428">
        <f>G46</f>
        <v>0</v>
      </c>
      <c r="U46" s="3428"/>
      <c r="V46" s="3428">
        <f>I46</f>
        <v>0</v>
      </c>
      <c r="W46" s="342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33" t="str">
        <f>A47</f>
        <v>比较价值（元/平方米）</v>
      </c>
      <c r="Q47" s="3433"/>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30" t="str">
        <f>A48</f>
        <v>估价对象XX用房的比较价值（楼面单价，元/平方米）</v>
      </c>
      <c r="Q48" s="3431"/>
      <c r="R48" s="3461" t="e">
        <f>ROUND(IF(D47="简单平均",AVERAGE(R47:W47),R47*F47+T47*H47+V47*J47),0)</f>
        <v>#DIV/0!</v>
      </c>
      <c r="S48" s="3461"/>
      <c r="T48" s="3461"/>
      <c r="U48" s="3461"/>
      <c r="V48" s="3461"/>
      <c r="W48" s="346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16" t="s">
        <v>1887</v>
      </c>
      <c r="H55" s="346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12124.999999999998</v>
      </c>
      <c r="F56" s="833" t="e">
        <f t="shared" ref="F56:F64" si="15">ROUND(B56*E56/10000,0)</f>
        <v>#DIV/0!</v>
      </c>
      <c r="G56" s="3415"/>
      <c r="H56" s="343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0.3</v>
      </c>
      <c r="D60" s="891">
        <v>0.25</v>
      </c>
      <c r="E60" s="209">
        <f>'数据-汇总表'!E11</f>
        <v>2014.1999999999998</v>
      </c>
      <c r="F60" s="833" t="e">
        <f t="shared" si="15"/>
        <v>#DIV/0!</v>
      </c>
      <c r="G60" s="1834" t="s">
        <v>1896</v>
      </c>
      <c r="H60" s="834" t="str">
        <f>项目基本情况!C37</f>
        <v>一级</v>
      </c>
      <c r="I60" s="838">
        <f>SUMIF(修正!A57:A68,H60,修正!E57:E68)</f>
        <v>0.3</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0.2</v>
      </c>
      <c r="D64" s="891">
        <v>0.25</v>
      </c>
      <c r="E64" s="209">
        <f>'数据-汇总表'!E15</f>
        <v>0</v>
      </c>
      <c r="F64" s="833" t="e">
        <f t="shared" si="15"/>
        <v>#DIV/0!</v>
      </c>
      <c r="G64" s="1835" t="s">
        <v>1896</v>
      </c>
      <c r="H64" s="844" t="str">
        <f>项目基本情况!C37</f>
        <v>一级</v>
      </c>
      <c r="I64" s="840">
        <f>SUMIF(修正!A57:A68,H64,修正!G57:G68)</f>
        <v>0.2</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14139.199999999997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6" t="s">
        <v>1770</v>
      </c>
      <c r="D4" s="3417"/>
      <c r="E4" s="3418" t="s">
        <v>1771</v>
      </c>
      <c r="F4" s="3419"/>
      <c r="G4" s="3416" t="s">
        <v>1772</v>
      </c>
      <c r="H4" s="3417"/>
      <c r="I4" s="3416" t="s">
        <v>1773</v>
      </c>
      <c r="J4" s="3417"/>
      <c r="K4" s="537" t="s">
        <v>1774</v>
      </c>
      <c r="L4" s="2486"/>
      <c r="M4" s="2487"/>
      <c r="N4" s="2487"/>
      <c r="O4" s="2487"/>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ht="15">
      <c r="A5" s="348"/>
      <c r="B5" s="349"/>
      <c r="C5" s="3409" t="s">
        <v>1673</v>
      </c>
      <c r="D5" s="3410"/>
      <c r="E5" s="3407" t="s">
        <v>1674</v>
      </c>
      <c r="F5" s="3408"/>
      <c r="G5" s="3409" t="s">
        <v>1675</v>
      </c>
      <c r="H5" s="3410"/>
      <c r="I5" s="3409" t="s">
        <v>1676</v>
      </c>
      <c r="J5" s="3410"/>
      <c r="K5" s="537"/>
      <c r="L5" s="2486"/>
      <c r="M5" s="2487"/>
      <c r="N5" s="2487"/>
      <c r="O5" s="2487"/>
      <c r="P5" s="3422"/>
      <c r="Q5" s="3423"/>
      <c r="R5" s="3405"/>
      <c r="S5" s="3406"/>
      <c r="T5" s="3405"/>
      <c r="U5" s="3406"/>
      <c r="V5" s="3428"/>
      <c r="W5" s="3428"/>
      <c r="X5" s="1265"/>
      <c r="Y5" s="3405"/>
      <c r="Z5" s="3406"/>
      <c r="AA5" s="3399"/>
      <c r="AB5" s="3399"/>
      <c r="AC5" s="3399"/>
    </row>
    <row r="6" spans="1:29" ht="15.75" thickBot="1">
      <c r="A6" s="350"/>
      <c r="B6" s="351"/>
      <c r="C6" s="3463" t="s">
        <v>1919</v>
      </c>
      <c r="D6" s="3464"/>
      <c r="E6" s="3465" t="s">
        <v>1919</v>
      </c>
      <c r="F6" s="3466"/>
      <c r="G6" s="3463" t="s">
        <v>1919</v>
      </c>
      <c r="H6" s="3464"/>
      <c r="I6" s="3463" t="s">
        <v>1919</v>
      </c>
      <c r="J6" s="3464"/>
      <c r="K6" s="537" t="s">
        <v>1678</v>
      </c>
      <c r="L6" s="2486"/>
      <c r="M6" s="2487"/>
      <c r="N6" s="2487"/>
      <c r="O6" s="2487"/>
      <c r="P6" s="3424"/>
      <c r="Q6" s="3425"/>
      <c r="R6" s="3405"/>
      <c r="S6" s="3406"/>
      <c r="T6" s="3426"/>
      <c r="U6" s="3427"/>
      <c r="V6" s="3428"/>
      <c r="W6" s="3428"/>
      <c r="X6" s="1265"/>
      <c r="Y6" s="3426"/>
      <c r="Z6" s="3427"/>
      <c r="AA6" s="3400"/>
      <c r="AB6" s="3400"/>
      <c r="AC6" s="3400"/>
    </row>
    <row r="7" spans="1:29" s="102" customFormat="1" ht="15.75" thickBot="1">
      <c r="A7" s="352" t="s">
        <v>1679</v>
      </c>
      <c r="B7" s="353"/>
      <c r="C7" s="354">
        <f>'数据-取费表'!B2</f>
        <v>45574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1" t="s">
        <v>1680</v>
      </c>
      <c r="Q7" s="3429"/>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33"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104</v>
      </c>
      <c r="G10" s="371"/>
      <c r="H10" s="119">
        <f>ROUND(100/'数据-取费表'!G16,0)</f>
        <v>104</v>
      </c>
      <c r="I10" s="371"/>
      <c r="J10" s="119">
        <f>ROUND(100/'数据-取费表'!G16,0)</f>
        <v>104</v>
      </c>
      <c r="K10" s="592"/>
      <c r="L10" s="2489"/>
      <c r="M10" s="2490"/>
      <c r="N10" s="2490"/>
      <c r="O10" s="2541"/>
      <c r="P10" s="3433"/>
      <c r="Q10" s="530" t="str">
        <f t="shared" si="6"/>
        <v>土地使用年限（年）</v>
      </c>
      <c r="R10" s="664" t="s">
        <v>14</v>
      </c>
      <c r="S10" s="665">
        <f t="shared" si="0"/>
        <v>104</v>
      </c>
      <c r="T10" s="664" t="s">
        <v>14</v>
      </c>
      <c r="U10" s="665">
        <f t="shared" si="1"/>
        <v>104</v>
      </c>
      <c r="V10" s="664" t="s">
        <v>14</v>
      </c>
      <c r="W10" s="665">
        <f t="shared" si="2"/>
        <v>104</v>
      </c>
      <c r="X10" s="666"/>
      <c r="Y10" s="3326"/>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3"/>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33"/>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3"/>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3"/>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4" t="s">
        <v>1691</v>
      </c>
      <c r="Q15" s="1263" t="str">
        <f t="shared" si="6"/>
        <v>产业集聚程度</v>
      </c>
      <c r="R15" s="667" t="s">
        <v>14</v>
      </c>
      <c r="S15" s="668">
        <f t="shared" si="0"/>
        <v>100</v>
      </c>
      <c r="T15" s="667" t="s">
        <v>14</v>
      </c>
      <c r="U15" s="668">
        <f t="shared" si="1"/>
        <v>100</v>
      </c>
      <c r="V15" s="667" t="s">
        <v>14</v>
      </c>
      <c r="W15" s="668">
        <f t="shared" si="2"/>
        <v>100</v>
      </c>
      <c r="X15" s="1265"/>
      <c r="Y15" s="343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35"/>
      <c r="Q16" s="1263"/>
      <c r="R16" s="667"/>
      <c r="S16" s="668"/>
      <c r="T16" s="667"/>
      <c r="U16" s="668"/>
      <c r="V16" s="667"/>
      <c r="W16" s="668"/>
      <c r="X16" s="1265"/>
      <c r="Y16" s="3435"/>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5"/>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35"/>
      <c r="Q18" s="1263"/>
      <c r="R18" s="667"/>
      <c r="S18" s="668"/>
      <c r="T18" s="667"/>
      <c r="U18" s="668"/>
      <c r="V18" s="667"/>
      <c r="W18" s="668"/>
      <c r="X18" s="1265"/>
      <c r="Y18" s="3435"/>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5"/>
      <c r="Q19" s="1263" t="str">
        <f t="shared" ref="Q19:Q33" si="8">B19</f>
        <v>区域土地利用方向</v>
      </c>
      <c r="R19" s="667" t="s">
        <v>14</v>
      </c>
      <c r="S19" s="668">
        <f>F19</f>
        <v>100</v>
      </c>
      <c r="T19" s="667" t="s">
        <v>14</v>
      </c>
      <c r="U19" s="668">
        <f>H19</f>
        <v>100</v>
      </c>
      <c r="V19" s="667" t="s">
        <v>14</v>
      </c>
      <c r="W19" s="668">
        <f>J19</f>
        <v>100</v>
      </c>
      <c r="X19" s="1265"/>
      <c r="Y19" s="343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35"/>
      <c r="Q20" s="1263"/>
      <c r="R20" s="667"/>
      <c r="S20" s="668"/>
      <c r="T20" s="667"/>
      <c r="U20" s="668"/>
      <c r="V20" s="667"/>
      <c r="W20" s="668"/>
      <c r="X20" s="1265"/>
      <c r="Y20" s="3435"/>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5"/>
      <c r="Q21" s="1263" t="str">
        <f t="shared" si="8"/>
        <v>环境状况</v>
      </c>
      <c r="R21" s="667" t="s">
        <v>14</v>
      </c>
      <c r="S21" s="668">
        <f>F21</f>
        <v>100</v>
      </c>
      <c r="T21" s="667" t="s">
        <v>14</v>
      </c>
      <c r="U21" s="668">
        <f>H21</f>
        <v>100</v>
      </c>
      <c r="V21" s="667" t="s">
        <v>14</v>
      </c>
      <c r="W21" s="668">
        <f>J21</f>
        <v>100</v>
      </c>
      <c r="X21" s="1265"/>
      <c r="Y21" s="343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35"/>
      <c r="Q22" s="1263"/>
      <c r="R22" s="667"/>
      <c r="S22" s="668"/>
      <c r="T22" s="667"/>
      <c r="U22" s="668"/>
      <c r="V22" s="667"/>
      <c r="W22" s="668"/>
      <c r="X22" s="1265"/>
      <c r="Y22" s="3435"/>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35"/>
      <c r="Q23" s="530" t="str">
        <f t="shared" si="8"/>
        <v>公共配套设施</v>
      </c>
      <c r="R23" s="664" t="s">
        <v>14</v>
      </c>
      <c r="S23" s="665">
        <f>F23</f>
        <v>100</v>
      </c>
      <c r="T23" s="664" t="s">
        <v>14</v>
      </c>
      <c r="U23" s="665">
        <f>H23</f>
        <v>100</v>
      </c>
      <c r="V23" s="664" t="s">
        <v>14</v>
      </c>
      <c r="W23" s="665">
        <f>J23</f>
        <v>100</v>
      </c>
      <c r="X23" s="666"/>
      <c r="Y23" s="3435"/>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35"/>
      <c r="Q24" s="530"/>
      <c r="R24" s="664"/>
      <c r="S24" s="665"/>
      <c r="T24" s="664"/>
      <c r="U24" s="665"/>
      <c r="V24" s="664"/>
      <c r="W24" s="665"/>
      <c r="X24" s="666"/>
      <c r="Y24" s="3435"/>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35"/>
      <c r="Q25" s="530" t="str">
        <f t="shared" ref="Q25" si="9">B25</f>
        <v>基础设施水平</v>
      </c>
      <c r="R25" s="664" t="s">
        <v>14</v>
      </c>
      <c r="S25" s="665">
        <f>F25</f>
        <v>100</v>
      </c>
      <c r="T25" s="664" t="s">
        <v>14</v>
      </c>
      <c r="U25" s="665">
        <f>H25</f>
        <v>100</v>
      </c>
      <c r="V25" s="664" t="s">
        <v>14</v>
      </c>
      <c r="W25" s="665">
        <f>J25</f>
        <v>100</v>
      </c>
      <c r="X25" s="666"/>
      <c r="Y25" s="343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35"/>
      <c r="Q26" s="530"/>
      <c r="R26" s="664"/>
      <c r="S26" s="665"/>
      <c r="T26" s="664"/>
      <c r="U26" s="665"/>
      <c r="V26" s="664"/>
      <c r="W26" s="665"/>
      <c r="X26" s="666"/>
      <c r="Y26" s="343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5"/>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5"/>
      <c r="Q28" s="1263" t="str">
        <f t="shared" si="8"/>
        <v>毗邻道路的类型与等级</v>
      </c>
      <c r="R28" s="667" t="s">
        <v>14</v>
      </c>
      <c r="S28" s="668">
        <f t="shared" si="10"/>
        <v>100</v>
      </c>
      <c r="T28" s="667" t="s">
        <v>14</v>
      </c>
      <c r="U28" s="668">
        <f t="shared" si="11"/>
        <v>100</v>
      </c>
      <c r="V28" s="667" t="s">
        <v>14</v>
      </c>
      <c r="W28" s="668">
        <f t="shared" si="12"/>
        <v>100</v>
      </c>
      <c r="X28" s="1265"/>
      <c r="Y28" s="343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35"/>
      <c r="Q29" s="1263"/>
      <c r="R29" s="667"/>
      <c r="S29" s="668"/>
      <c r="T29" s="667"/>
      <c r="U29" s="668"/>
      <c r="V29" s="667"/>
      <c r="W29" s="668"/>
      <c r="X29" s="1265"/>
      <c r="Y29" s="343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5"/>
      <c r="Q30" s="1263" t="str">
        <f t="shared" si="8"/>
        <v>土地级别</v>
      </c>
      <c r="R30" s="667" t="s">
        <v>14</v>
      </c>
      <c r="S30" s="668">
        <f t="shared" si="10"/>
        <v>100</v>
      </c>
      <c r="T30" s="667" t="s">
        <v>14</v>
      </c>
      <c r="U30" s="668">
        <f t="shared" si="11"/>
        <v>100</v>
      </c>
      <c r="V30" s="667" t="s">
        <v>14</v>
      </c>
      <c r="W30" s="668">
        <f t="shared" si="12"/>
        <v>100</v>
      </c>
      <c r="X30" s="1265"/>
      <c r="Y30" s="343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5"/>
      <c r="Q31" s="1263">
        <f t="shared" si="8"/>
        <v>111</v>
      </c>
      <c r="R31" s="667" t="s">
        <v>14</v>
      </c>
      <c r="S31" s="668">
        <f t="shared" si="10"/>
        <v>100</v>
      </c>
      <c r="T31" s="667" t="s">
        <v>14</v>
      </c>
      <c r="U31" s="668">
        <f t="shared" si="11"/>
        <v>100</v>
      </c>
      <c r="V31" s="667" t="s">
        <v>14</v>
      </c>
      <c r="W31" s="668">
        <f t="shared" si="12"/>
        <v>100</v>
      </c>
      <c r="X31" s="1265"/>
      <c r="Y31" s="343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8" t="s">
        <v>1696</v>
      </c>
      <c r="Q32" s="1263">
        <f t="shared" si="8"/>
        <v>111</v>
      </c>
      <c r="R32" s="667" t="s">
        <v>14</v>
      </c>
      <c r="S32" s="668">
        <f t="shared" si="10"/>
        <v>100</v>
      </c>
      <c r="T32" s="667" t="s">
        <v>14</v>
      </c>
      <c r="U32" s="668">
        <f t="shared" si="11"/>
        <v>100</v>
      </c>
      <c r="V32" s="667" t="s">
        <v>14</v>
      </c>
      <c r="W32" s="668">
        <f t="shared" si="12"/>
        <v>100</v>
      </c>
      <c r="X32" s="1265"/>
      <c r="Y32" s="3439"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9"/>
      <c r="Q33" s="1263">
        <f t="shared" si="8"/>
        <v>111</v>
      </c>
      <c r="R33" s="669" t="s">
        <v>14</v>
      </c>
      <c r="S33" s="670">
        <f t="shared" si="10"/>
        <v>100</v>
      </c>
      <c r="T33" s="669" t="s">
        <v>14</v>
      </c>
      <c r="U33" s="670">
        <f t="shared" si="11"/>
        <v>100</v>
      </c>
      <c r="V33" s="669" t="s">
        <v>14</v>
      </c>
      <c r="W33" s="670">
        <f t="shared" si="12"/>
        <v>100</v>
      </c>
      <c r="X33" s="671"/>
      <c r="Y33" s="343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9"/>
      <c r="Q34" s="1263" t="str">
        <f>B34</f>
        <v>宗地面积</v>
      </c>
      <c r="R34" s="667" t="s">
        <v>14</v>
      </c>
      <c r="S34" s="668" t="e">
        <f t="shared" si="10"/>
        <v>#N/A</v>
      </c>
      <c r="T34" s="667" t="s">
        <v>14</v>
      </c>
      <c r="U34" s="668" t="e">
        <f t="shared" si="11"/>
        <v>#N/A</v>
      </c>
      <c r="V34" s="667" t="s">
        <v>14</v>
      </c>
      <c r="W34" s="668" t="e">
        <f t="shared" si="12"/>
        <v>#N/A</v>
      </c>
      <c r="X34" s="1265"/>
      <c r="Y34" s="343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39"/>
      <c r="Q35" s="1263" t="str">
        <f t="shared" ref="Q35:Q40" si="14">B35</f>
        <v>宗地形状</v>
      </c>
      <c r="R35" s="667" t="s">
        <v>14</v>
      </c>
      <c r="S35" s="668">
        <f t="shared" si="10"/>
        <v>100</v>
      </c>
      <c r="T35" s="667" t="s">
        <v>14</v>
      </c>
      <c r="U35" s="668">
        <f t="shared" si="11"/>
        <v>100</v>
      </c>
      <c r="V35" s="667" t="s">
        <v>14</v>
      </c>
      <c r="W35" s="668">
        <f t="shared" si="12"/>
        <v>100</v>
      </c>
      <c r="X35" s="1265"/>
      <c r="Y35" s="343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39"/>
      <c r="Q36" s="1263" t="str">
        <f t="shared" si="14"/>
        <v>宗地开发程度</v>
      </c>
      <c r="R36" s="664" t="s">
        <v>14</v>
      </c>
      <c r="S36" s="665">
        <f t="shared" si="10"/>
        <v>100</v>
      </c>
      <c r="T36" s="664" t="s">
        <v>14</v>
      </c>
      <c r="U36" s="665">
        <f t="shared" si="11"/>
        <v>100</v>
      </c>
      <c r="V36" s="664" t="s">
        <v>14</v>
      </c>
      <c r="W36" s="665">
        <f t="shared" si="12"/>
        <v>100</v>
      </c>
      <c r="X36" s="666"/>
      <c r="Y36" s="343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39" t="s">
        <v>1696</v>
      </c>
      <c r="Q37" s="1263" t="str">
        <f t="shared" si="14"/>
        <v>工程地质条件</v>
      </c>
      <c r="R37" s="667" t="s">
        <v>14</v>
      </c>
      <c r="S37" s="668">
        <f t="shared" si="10"/>
        <v>100</v>
      </c>
      <c r="T37" s="667" t="s">
        <v>14</v>
      </c>
      <c r="U37" s="668">
        <f t="shared" si="11"/>
        <v>100</v>
      </c>
      <c r="V37" s="667" t="s">
        <v>14</v>
      </c>
      <c r="W37" s="668">
        <f t="shared" si="12"/>
        <v>100</v>
      </c>
      <c r="X37" s="1265"/>
      <c r="Y37" s="343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9"/>
      <c r="Q38" s="1263">
        <f t="shared" si="14"/>
        <v>111</v>
      </c>
      <c r="R38" s="667" t="s">
        <v>14</v>
      </c>
      <c r="S38" s="668">
        <f t="shared" si="10"/>
        <v>100</v>
      </c>
      <c r="T38" s="667" t="s">
        <v>14</v>
      </c>
      <c r="U38" s="668">
        <f t="shared" si="11"/>
        <v>100</v>
      </c>
      <c r="V38" s="667" t="s">
        <v>14</v>
      </c>
      <c r="W38" s="668">
        <f t="shared" si="12"/>
        <v>100</v>
      </c>
      <c r="X38" s="1265"/>
      <c r="Y38" s="343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9"/>
      <c r="Q39" s="1263">
        <f t="shared" si="14"/>
        <v>111</v>
      </c>
      <c r="R39" s="667" t="s">
        <v>14</v>
      </c>
      <c r="S39" s="668">
        <f t="shared" si="10"/>
        <v>100</v>
      </c>
      <c r="T39" s="667" t="s">
        <v>14</v>
      </c>
      <c r="U39" s="668">
        <f t="shared" si="11"/>
        <v>100</v>
      </c>
      <c r="V39" s="667" t="s">
        <v>14</v>
      </c>
      <c r="W39" s="668">
        <f t="shared" si="12"/>
        <v>100</v>
      </c>
      <c r="X39" s="1265"/>
      <c r="Y39" s="3439"/>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9"/>
      <c r="Q40" s="1263">
        <f t="shared" si="14"/>
        <v>111</v>
      </c>
      <c r="R40" s="669" t="s">
        <v>14</v>
      </c>
      <c r="S40" s="670">
        <f t="shared" si="10"/>
        <v>100</v>
      </c>
      <c r="T40" s="669" t="s">
        <v>14</v>
      </c>
      <c r="U40" s="670">
        <f t="shared" si="11"/>
        <v>100</v>
      </c>
      <c r="V40" s="669" t="s">
        <v>14</v>
      </c>
      <c r="W40" s="670">
        <f t="shared" si="12"/>
        <v>100</v>
      </c>
      <c r="X40" s="671"/>
      <c r="Y40" s="3439"/>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33" t="str">
        <f>A41</f>
        <v>成交单价</v>
      </c>
      <c r="Q41" s="3433"/>
      <c r="R41" s="3428">
        <f>E41</f>
        <v>0</v>
      </c>
      <c r="S41" s="3428"/>
      <c r="T41" s="3428">
        <f>G41</f>
        <v>0</v>
      </c>
      <c r="U41" s="3428"/>
      <c r="V41" s="3428">
        <f>I41</f>
        <v>0</v>
      </c>
      <c r="W41" s="342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33" t="str">
        <f>A42</f>
        <v>比较价值（元/平方米）</v>
      </c>
      <c r="Q42" s="3433"/>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30" t="str">
        <f>A43</f>
        <v>估价对象XX用房的比较价值（楼面单价，元/平方米）</v>
      </c>
      <c r="Q43" s="3431"/>
      <c r="R43" s="3461" t="e">
        <f>ROUND(IF(D42="简单平均",AVERAGE(R42:W42),R42*F42+T42*H42+V42*J42),0)</f>
        <v>#DIV/0!</v>
      </c>
      <c r="S43" s="3461"/>
      <c r="T43" s="3461"/>
      <c r="U43" s="3461"/>
      <c r="V43" s="3461"/>
      <c r="W43" s="346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16" t="s">
        <v>1887</v>
      </c>
      <c r="H50" s="3462"/>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12124.999999999998</v>
      </c>
      <c r="F51" s="611" t="e">
        <f t="shared" ref="F51:F60" si="15">ROUND(B51*E51/10000,0)</f>
        <v>#DIV/0!</v>
      </c>
      <c r="G51" s="3415"/>
      <c r="H51" s="343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0.3</v>
      </c>
      <c r="D56" s="891">
        <v>0.25</v>
      </c>
      <c r="E56" s="209">
        <f>'数据-汇总表'!E11</f>
        <v>2014.1999999999998</v>
      </c>
      <c r="F56" s="611" t="e">
        <f t="shared" si="15"/>
        <v>#DIV/0!</v>
      </c>
      <c r="G56" s="1834" t="s">
        <v>1896</v>
      </c>
      <c r="H56" s="834" t="str">
        <f>项目基本情况!C37</f>
        <v>一级</v>
      </c>
      <c r="I56" s="727">
        <f>SUMIF(修正!A57:A68,H56,修正!E57:E68)</f>
        <v>0.3</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0.2</v>
      </c>
      <c r="D60" s="891">
        <v>0.25</v>
      </c>
      <c r="E60" s="209">
        <f>'数据-汇总表'!E15</f>
        <v>0</v>
      </c>
      <c r="F60" s="611" t="e">
        <f t="shared" si="15"/>
        <v>#DIV/0!</v>
      </c>
      <c r="G60" s="1835" t="s">
        <v>1896</v>
      </c>
      <c r="H60" s="844" t="str">
        <f>项目基本情况!C37</f>
        <v>一级</v>
      </c>
      <c r="I60" s="727">
        <f>SUMIF(修正!A57:A68,H60,修正!G57:G68)</f>
        <v>0.2</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9256.19</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0" t="s">
        <v>2084</v>
      </c>
      <c r="D1" s="3471"/>
      <c r="E1" s="3471"/>
      <c r="F1" s="3471"/>
      <c r="G1" s="3471"/>
      <c r="H1" s="3471"/>
      <c r="I1" s="3471"/>
      <c r="J1" s="3471"/>
      <c r="K1" s="3471"/>
      <c r="L1" s="3471"/>
      <c r="M1" s="3471"/>
      <c r="N1" s="3471"/>
      <c r="O1" s="3471"/>
      <c r="P1" s="3471"/>
      <c r="Q1" s="3471"/>
      <c r="R1" s="3471"/>
      <c r="S1" s="347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52344</v>
      </c>
      <c r="C2" s="1983" t="s">
        <v>2074</v>
      </c>
      <c r="D2" s="1983" t="s">
        <v>2075</v>
      </c>
      <c r="E2" s="2397">
        <f ca="1">SUMIF(E6:E13,"&lt;&gt;#ref!",E6:E13)</f>
        <v>14139.199999999997</v>
      </c>
      <c r="F2" s="2544"/>
      <c r="G2" s="2544"/>
      <c r="H2" s="2544"/>
      <c r="I2" s="2544"/>
      <c r="J2" s="2544"/>
      <c r="K2" s="2544"/>
      <c r="L2" s="2544"/>
      <c r="M2" s="2544"/>
      <c r="N2" s="2544"/>
      <c r="O2" s="2544"/>
      <c r="P2" s="2544"/>
    </row>
    <row r="3" spans="1:16" ht="15.75">
      <c r="A3" s="1983" t="s">
        <v>2076</v>
      </c>
      <c r="B3" s="2387">
        <f ca="1">ROUND(B2*10000/E2,0)</f>
        <v>37020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52344</v>
      </c>
      <c r="C6" s="1983" t="s">
        <v>2074</v>
      </c>
      <c r="D6" s="2544"/>
      <c r="E6" s="2397">
        <f ca="1">SUMIF(INDIRECT("'"&amp;A6&amp;"'"&amp;"!C:C"),"建筑面积",INDIRECT("'"&amp;A6&amp;"'"&amp;"!D:D"))</f>
        <v>14139.199999999997</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15"/>
  <sheetViews>
    <sheetView zoomScale="85" zoomScaleNormal="85" workbookViewId="0">
      <selection activeCell="E23" sqref="E23"/>
    </sheetView>
  </sheetViews>
  <sheetFormatPr defaultRowHeight="13.5"/>
  <cols>
    <col min="1" max="1" width="15.125" style="3148" bestFit="1" customWidth="1"/>
    <col min="2" max="2" width="15" style="3148" bestFit="1" customWidth="1"/>
    <col min="3" max="3" width="11.625" style="3148" bestFit="1" customWidth="1"/>
    <col min="4" max="5" width="12.75" style="3148" bestFit="1" customWidth="1"/>
    <col min="6" max="16384" width="9" style="3148"/>
  </cols>
  <sheetData>
    <row r="1" spans="1:5">
      <c r="B1" s="3148" t="s">
        <v>3412</v>
      </c>
      <c r="C1" s="3148" t="s">
        <v>3413</v>
      </c>
      <c r="D1" s="3148" t="s">
        <v>3414</v>
      </c>
      <c r="E1" s="3148" t="s">
        <v>3415</v>
      </c>
    </row>
    <row r="2" spans="1:5">
      <c r="A2" s="3148">
        <v>1</v>
      </c>
      <c r="B2" s="3149">
        <v>45611</v>
      </c>
      <c r="C2" s="3150">
        <v>46705</v>
      </c>
      <c r="D2" s="3151">
        <v>20643232</v>
      </c>
      <c r="E2" s="3151">
        <f>D2*3</f>
        <v>61929696</v>
      </c>
    </row>
    <row r="3" spans="1:5">
      <c r="A3" s="3148">
        <v>2</v>
      </c>
      <c r="B3" s="3150">
        <v>46706</v>
      </c>
      <c r="C3" s="3150">
        <v>47801</v>
      </c>
      <c r="D3" s="3151">
        <v>21675393.600000001</v>
      </c>
      <c r="E3" s="3151">
        <f t="shared" ref="E3:E7" si="0">D3*3</f>
        <v>65026180.800000004</v>
      </c>
    </row>
    <row r="4" spans="1:5">
      <c r="A4" s="3148">
        <v>3</v>
      </c>
      <c r="B4" s="3150">
        <v>47802</v>
      </c>
      <c r="C4" s="3150">
        <v>48897</v>
      </c>
      <c r="D4" s="3148">
        <v>22759163.280000001</v>
      </c>
      <c r="E4" s="3151">
        <f t="shared" si="0"/>
        <v>68277489.840000004</v>
      </c>
    </row>
    <row r="5" spans="1:5">
      <c r="A5" s="3148">
        <v>4</v>
      </c>
      <c r="B5" s="3150">
        <v>48898</v>
      </c>
      <c r="C5" s="3150">
        <v>49993</v>
      </c>
      <c r="D5" s="3148">
        <v>23897121.440000001</v>
      </c>
      <c r="E5" s="3151">
        <f t="shared" si="0"/>
        <v>71691364.320000008</v>
      </c>
    </row>
    <row r="6" spans="1:5">
      <c r="A6" s="3148">
        <v>5</v>
      </c>
      <c r="B6" s="3150">
        <v>49994</v>
      </c>
      <c r="C6" s="3150">
        <v>51088</v>
      </c>
      <c r="D6" s="3148">
        <v>25091977.510000002</v>
      </c>
      <c r="E6" s="3151">
        <f t="shared" si="0"/>
        <v>75275932.530000001</v>
      </c>
    </row>
    <row r="7" spans="1:5">
      <c r="A7" s="3148">
        <v>6</v>
      </c>
      <c r="B7" s="3150">
        <v>51089</v>
      </c>
      <c r="C7" s="3150">
        <v>52184</v>
      </c>
      <c r="D7" s="3148">
        <v>26346575.379999999</v>
      </c>
      <c r="E7" s="3151">
        <f t="shared" si="0"/>
        <v>79039726.140000001</v>
      </c>
    </row>
    <row r="8" spans="1:5">
      <c r="A8" s="3148">
        <v>7</v>
      </c>
      <c r="B8" s="3150">
        <v>52185</v>
      </c>
      <c r="C8" s="3149">
        <v>53280</v>
      </c>
      <c r="D8" s="3151">
        <v>27663905.199999999</v>
      </c>
      <c r="E8" s="3151">
        <f>D8*2</f>
        <v>55327810.399999999</v>
      </c>
    </row>
    <row r="10" spans="1:5">
      <c r="A10" s="3148" t="s">
        <v>3416</v>
      </c>
      <c r="B10" s="3150">
        <f>项目基本情况!D3</f>
        <v>45574</v>
      </c>
    </row>
    <row r="11" spans="1:5">
      <c r="A11" s="3148" t="s">
        <v>3417</v>
      </c>
      <c r="B11" s="3148">
        <f>面积!$D$24</f>
        <v>14139.199999999999</v>
      </c>
    </row>
    <row r="12" spans="1:5">
      <c r="B12" s="3151"/>
    </row>
    <row r="13" spans="1:5">
      <c r="A13" s="3148" t="s">
        <v>3418</v>
      </c>
      <c r="B13" s="3152">
        <f>E2+B12+E8+E7+E6+E5+E4+E3</f>
        <v>476568200.03000003</v>
      </c>
    </row>
    <row r="14" spans="1:5">
      <c r="A14" s="3148" t="s">
        <v>3419</v>
      </c>
      <c r="B14" s="3148">
        <f>ROUND((C8-B10)/365,2)</f>
        <v>21.11</v>
      </c>
    </row>
    <row r="15" spans="1:5">
      <c r="A15" s="3148" t="s">
        <v>3420</v>
      </c>
      <c r="B15" s="3148">
        <f>ROUND(B13/(20*365)/B11,2)</f>
        <v>4.62</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80" t="s">
        <v>2600</v>
      </c>
      <c r="B20" s="3473" t="s">
        <v>2621</v>
      </c>
      <c r="C20" s="2842" t="s">
        <v>2432</v>
      </c>
      <c r="D20" s="2843"/>
      <c r="E20" s="2844">
        <v>1</v>
      </c>
      <c r="F20" s="2845" t="s">
        <v>2433</v>
      </c>
      <c r="G20" s="2845"/>
    </row>
    <row r="21" spans="1:13" ht="19.5" customHeight="1">
      <c r="A21" s="3481"/>
      <c r="B21" s="3474"/>
      <c r="C21" s="2846" t="s">
        <v>2434</v>
      </c>
      <c r="D21" s="2847"/>
      <c r="E21" s="2848">
        <v>1</v>
      </c>
      <c r="F21" s="2845" t="s">
        <v>2435</v>
      </c>
      <c r="G21" s="2845"/>
    </row>
    <row r="22" spans="1:13" ht="19.5" customHeight="1">
      <c r="A22" s="3481"/>
      <c r="B22" s="3474"/>
      <c r="C22" s="2846" t="s">
        <v>2436</v>
      </c>
      <c r="D22" s="2847"/>
      <c r="E22" s="2848">
        <v>0.9</v>
      </c>
      <c r="F22" s="2845" t="s">
        <v>2437</v>
      </c>
      <c r="G22" s="2845"/>
    </row>
    <row r="23" spans="1:13" ht="19.5" customHeight="1">
      <c r="A23" s="3481"/>
      <c r="B23" s="3474"/>
      <c r="C23" s="2846" t="s">
        <v>2438</v>
      </c>
      <c r="D23" s="2847"/>
      <c r="E23" s="2848">
        <v>0.9</v>
      </c>
      <c r="F23" s="2845" t="s">
        <v>2439</v>
      </c>
      <c r="G23" s="2845"/>
    </row>
    <row r="24" spans="1:13" ht="19.5" customHeight="1">
      <c r="A24" s="3481"/>
      <c r="B24" s="3474"/>
      <c r="C24" s="2846" t="s">
        <v>2440</v>
      </c>
      <c r="D24" s="2847"/>
      <c r="E24" s="2848">
        <v>0.8</v>
      </c>
      <c r="F24" s="2845" t="s">
        <v>2441</v>
      </c>
      <c r="G24" s="2845"/>
    </row>
    <row r="25" spans="1:13" ht="19.5" customHeight="1" thickBot="1">
      <c r="A25" s="3482"/>
      <c r="B25" s="3475"/>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76" t="s">
        <v>2624</v>
      </c>
      <c r="B27" s="3473" t="s">
        <v>2605</v>
      </c>
      <c r="C27" s="2842" t="s">
        <v>2445</v>
      </c>
      <c r="D27" s="2843"/>
      <c r="E27" s="2844">
        <v>1</v>
      </c>
      <c r="F27" s="2845" t="s">
        <v>2446</v>
      </c>
      <c r="G27" s="2845"/>
    </row>
    <row r="28" spans="1:13" ht="19.5" customHeight="1">
      <c r="A28" s="3477"/>
      <c r="B28" s="3474"/>
      <c r="C28" s="2846" t="s">
        <v>2447</v>
      </c>
      <c r="D28" s="2847"/>
      <c r="E28" s="2848">
        <v>1</v>
      </c>
      <c r="F28" s="2845" t="s">
        <v>2448</v>
      </c>
      <c r="G28" s="2845"/>
    </row>
    <row r="29" spans="1:13" ht="19.5" customHeight="1">
      <c r="A29" s="3477"/>
      <c r="B29" s="3474"/>
      <c r="C29" s="2846" t="s">
        <v>2449</v>
      </c>
      <c r="D29" s="2847"/>
      <c r="E29" s="2848">
        <v>0.8</v>
      </c>
      <c r="F29" s="2845" t="s">
        <v>2450</v>
      </c>
      <c r="G29" s="2845"/>
    </row>
    <row r="30" spans="1:13" ht="19.5" customHeight="1">
      <c r="A30" s="3477"/>
      <c r="B30" s="3474"/>
      <c r="C30" s="2846" t="s">
        <v>2451</v>
      </c>
      <c r="D30" s="2847"/>
      <c r="E30" s="2848">
        <v>0.8</v>
      </c>
      <c r="F30" s="2845" t="s">
        <v>2452</v>
      </c>
      <c r="G30" s="2845"/>
    </row>
    <row r="31" spans="1:13" ht="19.5" customHeight="1">
      <c r="A31" s="3477"/>
      <c r="B31" s="3474"/>
      <c r="C31" s="2846" t="s">
        <v>2453</v>
      </c>
      <c r="D31" s="2847"/>
      <c r="E31" s="2848">
        <v>0.8</v>
      </c>
      <c r="F31" s="2845" t="s">
        <v>2454</v>
      </c>
      <c r="G31" s="2845"/>
    </row>
    <row r="32" spans="1:13" ht="19.5" customHeight="1">
      <c r="A32" s="3477"/>
      <c r="B32" s="3474"/>
      <c r="C32" s="2846" t="s">
        <v>2455</v>
      </c>
      <c r="D32" s="2847"/>
      <c r="E32" s="2848">
        <v>0.7</v>
      </c>
      <c r="F32" s="2845" t="s">
        <v>2456</v>
      </c>
      <c r="G32" s="2845"/>
    </row>
    <row r="33" spans="1:7" ht="19.5" customHeight="1">
      <c r="A33" s="3477"/>
      <c r="B33" s="3474"/>
      <c r="C33" s="2846" t="s">
        <v>2457</v>
      </c>
      <c r="D33" s="2847"/>
      <c r="E33" s="2848">
        <v>0.8</v>
      </c>
      <c r="F33" s="2845" t="s">
        <v>2458</v>
      </c>
      <c r="G33" s="2845"/>
    </row>
    <row r="34" spans="1:7" ht="19.5" customHeight="1">
      <c r="A34" s="3477"/>
      <c r="B34" s="3474"/>
      <c r="C34" s="2846" t="s">
        <v>2459</v>
      </c>
      <c r="D34" s="2847"/>
      <c r="E34" s="2848">
        <v>0.6</v>
      </c>
      <c r="F34" s="2845" t="s">
        <v>2460</v>
      </c>
      <c r="G34" s="2845"/>
    </row>
    <row r="35" spans="1:7" ht="19.5" customHeight="1">
      <c r="A35" s="3477"/>
      <c r="B35" s="3474"/>
      <c r="C35" s="2846" t="s">
        <v>2461</v>
      </c>
      <c r="D35" s="2847"/>
      <c r="E35" s="2848">
        <v>0.2</v>
      </c>
      <c r="F35" s="2845" t="s">
        <v>2462</v>
      </c>
      <c r="G35" s="2845"/>
    </row>
    <row r="36" spans="1:7" ht="19.5" customHeight="1">
      <c r="A36" s="3477"/>
      <c r="B36" s="3474"/>
      <c r="C36" s="2846" t="s">
        <v>2463</v>
      </c>
      <c r="D36" s="2847"/>
      <c r="E36" s="2848">
        <v>0.2</v>
      </c>
      <c r="F36" s="2845" t="s">
        <v>2464</v>
      </c>
      <c r="G36" s="2845"/>
    </row>
    <row r="37" spans="1:7" ht="19.5" customHeight="1">
      <c r="A37" s="3477"/>
      <c r="B37" s="3479" t="s">
        <v>2625</v>
      </c>
      <c r="C37" s="2846" t="s">
        <v>2465</v>
      </c>
      <c r="D37" s="2847"/>
      <c r="E37" s="2848">
        <v>0.6</v>
      </c>
      <c r="F37" s="2845" t="s">
        <v>2466</v>
      </c>
      <c r="G37" s="2845"/>
    </row>
    <row r="38" spans="1:7" ht="19.5" customHeight="1">
      <c r="A38" s="3477"/>
      <c r="B38" s="3474"/>
      <c r="C38" s="2846" t="s">
        <v>2467</v>
      </c>
      <c r="D38" s="2847"/>
      <c r="E38" s="2848">
        <v>0.6</v>
      </c>
      <c r="F38" s="2845" t="s">
        <v>2468</v>
      </c>
      <c r="G38" s="2845"/>
    </row>
    <row r="39" spans="1:7" ht="19.5" customHeight="1" thickBot="1">
      <c r="A39" s="3478"/>
      <c r="B39" s="3475"/>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80" t="s">
        <v>2603</v>
      </c>
      <c r="B41" s="3473" t="s">
        <v>2627</v>
      </c>
      <c r="C41" s="2842" t="s">
        <v>2472</v>
      </c>
      <c r="D41" s="2843"/>
      <c r="E41" s="2844">
        <v>1</v>
      </c>
      <c r="F41" s="2845" t="s">
        <v>2473</v>
      </c>
      <c r="G41" s="2845"/>
    </row>
    <row r="42" spans="1:7" ht="19.5" customHeight="1">
      <c r="A42" s="3481"/>
      <c r="B42" s="3474"/>
      <c r="C42" s="2846" t="s">
        <v>2474</v>
      </c>
      <c r="D42" s="2847"/>
      <c r="E42" s="2848">
        <v>1</v>
      </c>
      <c r="F42" s="2845" t="s">
        <v>2475</v>
      </c>
      <c r="G42" s="2845"/>
    </row>
    <row r="43" spans="1:7" ht="19.5" customHeight="1">
      <c r="A43" s="3481"/>
      <c r="B43" s="3483"/>
      <c r="C43" s="2846" t="s">
        <v>2476</v>
      </c>
      <c r="D43" s="2847"/>
      <c r="E43" s="2848">
        <v>1.5</v>
      </c>
      <c r="F43" s="2845" t="s">
        <v>2477</v>
      </c>
      <c r="G43" s="2845"/>
    </row>
    <row r="44" spans="1:7" ht="19.5" customHeight="1">
      <c r="A44" s="3481"/>
      <c r="B44" s="2857" t="s">
        <v>2628</v>
      </c>
      <c r="C44" s="2846" t="s">
        <v>2629</v>
      </c>
      <c r="D44" s="2847"/>
      <c r="E44" s="2848">
        <v>2</v>
      </c>
      <c r="F44" s="2845" t="s">
        <v>2478</v>
      </c>
      <c r="G44" s="2845"/>
    </row>
    <row r="45" spans="1:7" ht="19.5" customHeight="1">
      <c r="A45" s="3481"/>
      <c r="B45" s="3479" t="s">
        <v>2630</v>
      </c>
      <c r="C45" s="2846" t="s">
        <v>2479</v>
      </c>
      <c r="D45" s="2847"/>
      <c r="E45" s="2848">
        <v>1</v>
      </c>
      <c r="F45" s="2845" t="s">
        <v>2480</v>
      </c>
      <c r="G45" s="2845"/>
    </row>
    <row r="46" spans="1:7" ht="19.5" customHeight="1">
      <c r="A46" s="3481"/>
      <c r="B46" s="3474"/>
      <c r="C46" s="2846" t="s">
        <v>2481</v>
      </c>
      <c r="D46" s="2847"/>
      <c r="E46" s="2848">
        <v>1</v>
      </c>
      <c r="F46" s="2845" t="s">
        <v>2482</v>
      </c>
      <c r="G46" s="2845"/>
    </row>
    <row r="47" spans="1:7" ht="19.5" customHeight="1">
      <c r="A47" s="3481"/>
      <c r="B47" s="3474"/>
      <c r="C47" s="2846" t="s">
        <v>2483</v>
      </c>
      <c r="D47" s="2847"/>
      <c r="E47" s="2848">
        <v>1</v>
      </c>
      <c r="F47" s="2845" t="s">
        <v>2484</v>
      </c>
      <c r="G47" s="2845"/>
    </row>
    <row r="48" spans="1:7" ht="19.5" customHeight="1">
      <c r="A48" s="3481"/>
      <c r="B48" s="3474"/>
      <c r="C48" s="2846" t="s">
        <v>2485</v>
      </c>
      <c r="D48" s="2847"/>
      <c r="E48" s="2848">
        <v>1</v>
      </c>
      <c r="F48" s="2845" t="s">
        <v>2486</v>
      </c>
      <c r="G48" s="2845"/>
    </row>
    <row r="49" spans="1:7" ht="19.5" customHeight="1">
      <c r="A49" s="3481"/>
      <c r="B49" s="3474"/>
      <c r="C49" s="2846" t="s">
        <v>2487</v>
      </c>
      <c r="D49" s="2847"/>
      <c r="E49" s="2848">
        <v>1</v>
      </c>
      <c r="F49" s="2845" t="s">
        <v>2488</v>
      </c>
      <c r="G49" s="2845"/>
    </row>
    <row r="50" spans="1:7" ht="19.5" customHeight="1">
      <c r="A50" s="3481"/>
      <c r="B50" s="3474"/>
      <c r="C50" s="2846" t="s">
        <v>2489</v>
      </c>
      <c r="D50" s="2847"/>
      <c r="E50" s="2848">
        <v>1</v>
      </c>
      <c r="F50" s="2845" t="s">
        <v>2490</v>
      </c>
      <c r="G50" s="2845"/>
    </row>
    <row r="51" spans="1:7" ht="19.5" customHeight="1" thickBot="1">
      <c r="A51" s="3482"/>
      <c r="B51" s="3475"/>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79" t="s">
        <v>2644</v>
      </c>
      <c r="C73" s="2831" t="s">
        <v>2645</v>
      </c>
      <c r="D73" s="2831" t="s">
        <v>2646</v>
      </c>
      <c r="E73" s="2857">
        <v>0.2</v>
      </c>
      <c r="F73" s="2857">
        <v>25</v>
      </c>
    </row>
    <row r="74" spans="1:7" ht="24">
      <c r="A74" s="2857">
        <v>2</v>
      </c>
      <c r="B74" s="3474"/>
      <c r="C74" s="2831" t="s">
        <v>2647</v>
      </c>
      <c r="D74" s="2831" t="s">
        <v>2648</v>
      </c>
      <c r="E74" s="2857">
        <v>0.2</v>
      </c>
      <c r="F74" s="2857">
        <v>25</v>
      </c>
    </row>
    <row r="75" spans="1:7" ht="24">
      <c r="A75" s="2857">
        <v>3</v>
      </c>
      <c r="B75" s="3474"/>
      <c r="C75" s="2831" t="s">
        <v>2649</v>
      </c>
      <c r="D75" s="2831" t="s">
        <v>2650</v>
      </c>
      <c r="E75" s="2857">
        <v>0.2</v>
      </c>
      <c r="F75" s="2857">
        <v>25</v>
      </c>
    </row>
    <row r="76" spans="1:7" ht="13.5">
      <c r="A76" s="2857">
        <v>4</v>
      </c>
      <c r="B76" s="3474"/>
      <c r="C76" s="2831" t="s">
        <v>2651</v>
      </c>
      <c r="D76" s="2831" t="s">
        <v>2652</v>
      </c>
      <c r="E76" s="2857">
        <v>0.15</v>
      </c>
      <c r="F76" s="2857">
        <v>20</v>
      </c>
    </row>
    <row r="77" spans="1:7" ht="24">
      <c r="A77" s="2857">
        <v>5</v>
      </c>
      <c r="B77" s="3474"/>
      <c r="C77" s="2831" t="s">
        <v>2653</v>
      </c>
      <c r="D77" s="2831" t="s">
        <v>2654</v>
      </c>
      <c r="E77" s="2857">
        <v>0.15</v>
      </c>
      <c r="F77" s="2857">
        <v>20</v>
      </c>
    </row>
    <row r="78" spans="1:7" ht="24">
      <c r="A78" s="2857">
        <v>6</v>
      </c>
      <c r="B78" s="3474"/>
      <c r="C78" s="2831" t="s">
        <v>2655</v>
      </c>
      <c r="D78" s="2831" t="s">
        <v>2656</v>
      </c>
      <c r="E78" s="2857">
        <v>0.15</v>
      </c>
      <c r="F78" s="2857">
        <v>20</v>
      </c>
    </row>
    <row r="79" spans="1:7" ht="24">
      <c r="A79" s="2857">
        <v>7</v>
      </c>
      <c r="B79" s="3474"/>
      <c r="C79" s="2831" t="s">
        <v>2657</v>
      </c>
      <c r="D79" s="2831" t="s">
        <v>2658</v>
      </c>
      <c r="E79" s="2857">
        <v>0.15</v>
      </c>
      <c r="F79" s="2857">
        <v>20</v>
      </c>
    </row>
    <row r="80" spans="1:7" ht="24">
      <c r="A80" s="2857">
        <v>8</v>
      </c>
      <c r="B80" s="3474"/>
      <c r="C80" s="2831" t="s">
        <v>2659</v>
      </c>
      <c r="D80" s="2831" t="s">
        <v>2660</v>
      </c>
      <c r="E80" s="2857">
        <v>0.1</v>
      </c>
      <c r="F80" s="2857">
        <v>15</v>
      </c>
    </row>
    <row r="81" spans="1:6" ht="24">
      <c r="A81" s="2857">
        <v>9</v>
      </c>
      <c r="B81" s="3474"/>
      <c r="C81" s="2831" t="s">
        <v>2661</v>
      </c>
      <c r="D81" s="2831" t="s">
        <v>2662</v>
      </c>
      <c r="E81" s="2857">
        <v>0.1</v>
      </c>
      <c r="F81" s="2857">
        <v>15</v>
      </c>
    </row>
    <row r="82" spans="1:6" ht="24">
      <c r="A82" s="2857">
        <v>10</v>
      </c>
      <c r="B82" s="3474"/>
      <c r="C82" s="2831" t="s">
        <v>2663</v>
      </c>
      <c r="D82" s="2831" t="s">
        <v>2664</v>
      </c>
      <c r="E82" s="2857">
        <v>0.1</v>
      </c>
      <c r="F82" s="2857">
        <v>15</v>
      </c>
    </row>
    <row r="83" spans="1:6" ht="24">
      <c r="A83" s="2857">
        <v>11</v>
      </c>
      <c r="B83" s="3474"/>
      <c r="C83" s="2831" t="s">
        <v>2665</v>
      </c>
      <c r="D83" s="2831" t="s">
        <v>2666</v>
      </c>
      <c r="E83" s="2857">
        <v>0.1</v>
      </c>
      <c r="F83" s="2857">
        <v>15</v>
      </c>
    </row>
    <row r="84" spans="1:6" ht="24">
      <c r="A84" s="2857">
        <v>12</v>
      </c>
      <c r="B84" s="3474"/>
      <c r="C84" s="2831" t="s">
        <v>2667</v>
      </c>
      <c r="D84" s="2831" t="s">
        <v>2668</v>
      </c>
      <c r="E84" s="2857">
        <v>0.1</v>
      </c>
      <c r="F84" s="2857">
        <v>15</v>
      </c>
    </row>
    <row r="85" spans="1:6" ht="13.5">
      <c r="A85" s="2857">
        <v>13</v>
      </c>
      <c r="B85" s="3474"/>
      <c r="C85" s="2831" t="s">
        <v>2669</v>
      </c>
      <c r="D85" s="2831" t="s">
        <v>2670</v>
      </c>
      <c r="E85" s="2857">
        <v>0.1</v>
      </c>
      <c r="F85" s="2857">
        <v>15</v>
      </c>
    </row>
    <row r="86" spans="1:6" ht="13.5">
      <c r="A86" s="2857">
        <v>14</v>
      </c>
      <c r="B86" s="3474"/>
      <c r="C86" s="2831" t="s">
        <v>2671</v>
      </c>
      <c r="D86" s="2831" t="s">
        <v>2672</v>
      </c>
      <c r="E86" s="2857">
        <v>0.1</v>
      </c>
      <c r="F86" s="2857">
        <v>15</v>
      </c>
    </row>
    <row r="87" spans="1:6" ht="13.5">
      <c r="A87" s="2857">
        <v>15</v>
      </c>
      <c r="B87" s="3474"/>
      <c r="C87" s="2831" t="s">
        <v>2673</v>
      </c>
      <c r="D87" s="2831" t="s">
        <v>2674</v>
      </c>
      <c r="E87" s="2857">
        <v>0.1</v>
      </c>
      <c r="F87" s="2857">
        <v>15</v>
      </c>
    </row>
    <row r="88" spans="1:6" ht="24">
      <c r="A88" s="2857">
        <v>16</v>
      </c>
      <c r="B88" s="3474"/>
      <c r="C88" s="2831" t="s">
        <v>2675</v>
      </c>
      <c r="D88" s="2831" t="s">
        <v>2676</v>
      </c>
      <c r="E88" s="2857">
        <v>0.1</v>
      </c>
      <c r="F88" s="2857">
        <v>15</v>
      </c>
    </row>
    <row r="89" spans="1:6" ht="24">
      <c r="A89" s="2857">
        <v>17</v>
      </c>
      <c r="B89" s="3483"/>
      <c r="C89" s="2831" t="s">
        <v>2677</v>
      </c>
      <c r="D89" s="2831" t="s">
        <v>2678</v>
      </c>
      <c r="E89" s="2857">
        <v>0.1</v>
      </c>
      <c r="F89" s="2857">
        <v>15</v>
      </c>
    </row>
    <row r="90" spans="1:6" ht="13.5">
      <c r="A90" s="2857">
        <v>18</v>
      </c>
      <c r="B90" s="3479" t="s">
        <v>2679</v>
      </c>
      <c r="C90" s="2831" t="s">
        <v>2680</v>
      </c>
      <c r="D90" s="2831" t="s">
        <v>2681</v>
      </c>
      <c r="E90" s="2857">
        <v>0.2</v>
      </c>
      <c r="F90" s="2857">
        <v>25</v>
      </c>
    </row>
    <row r="91" spans="1:6" ht="24">
      <c r="A91" s="2857">
        <v>19</v>
      </c>
      <c r="B91" s="3474"/>
      <c r="C91" s="2831" t="s">
        <v>2682</v>
      </c>
      <c r="D91" s="2831" t="s">
        <v>2683</v>
      </c>
      <c r="E91" s="2857">
        <v>0.2</v>
      </c>
      <c r="F91" s="2857">
        <v>25</v>
      </c>
    </row>
    <row r="92" spans="1:6" ht="13.5">
      <c r="A92" s="2857">
        <v>20</v>
      </c>
      <c r="B92" s="3474"/>
      <c r="C92" s="2831" t="s">
        <v>2684</v>
      </c>
      <c r="D92" s="2831" t="s">
        <v>2685</v>
      </c>
      <c r="E92" s="2857">
        <v>0.15</v>
      </c>
      <c r="F92" s="2857">
        <v>20</v>
      </c>
    </row>
    <row r="93" spans="1:6" ht="13.5">
      <c r="A93" s="2857">
        <v>21</v>
      </c>
      <c r="B93" s="3474"/>
      <c r="C93" s="2831" t="s">
        <v>2686</v>
      </c>
      <c r="D93" s="2831" t="s">
        <v>2687</v>
      </c>
      <c r="E93" s="2857">
        <v>0.15</v>
      </c>
      <c r="F93" s="2857">
        <v>20</v>
      </c>
    </row>
    <row r="94" spans="1:6" ht="13.5">
      <c r="A94" s="2857">
        <v>22</v>
      </c>
      <c r="B94" s="3474"/>
      <c r="C94" s="2831" t="s">
        <v>2688</v>
      </c>
      <c r="D94" s="2831" t="s">
        <v>2689</v>
      </c>
      <c r="E94" s="2857">
        <v>0.15</v>
      </c>
      <c r="F94" s="2857">
        <v>20</v>
      </c>
    </row>
    <row r="95" spans="1:6" ht="36">
      <c r="A95" s="2857">
        <v>23</v>
      </c>
      <c r="B95" s="3474"/>
      <c r="C95" s="2831" t="s">
        <v>2690</v>
      </c>
      <c r="D95" s="2831" t="s">
        <v>2691</v>
      </c>
      <c r="E95" s="2857">
        <v>0.15</v>
      </c>
      <c r="F95" s="2857">
        <v>20</v>
      </c>
    </row>
    <row r="96" spans="1:6" ht="13.5">
      <c r="A96" s="2857">
        <v>24</v>
      </c>
      <c r="B96" s="3474"/>
      <c r="C96" s="2831" t="s">
        <v>2692</v>
      </c>
      <c r="D96" s="2831" t="s">
        <v>2693</v>
      </c>
      <c r="E96" s="2857">
        <v>0.1</v>
      </c>
      <c r="F96" s="2857">
        <v>15</v>
      </c>
    </row>
    <row r="97" spans="1:6" ht="13.5">
      <c r="A97" s="2857">
        <v>25</v>
      </c>
      <c r="B97" s="3474"/>
      <c r="C97" s="2831" t="s">
        <v>2694</v>
      </c>
      <c r="D97" s="2831" t="s">
        <v>2695</v>
      </c>
      <c r="E97" s="2857">
        <v>0.1</v>
      </c>
      <c r="F97" s="2857">
        <v>15</v>
      </c>
    </row>
    <row r="98" spans="1:6" ht="24">
      <c r="A98" s="2857">
        <v>26</v>
      </c>
      <c r="B98" s="3474"/>
      <c r="C98" s="2831" t="s">
        <v>2696</v>
      </c>
      <c r="D98" s="2831" t="s">
        <v>2697</v>
      </c>
      <c r="E98" s="2857">
        <v>0.1</v>
      </c>
      <c r="F98" s="2857">
        <v>15</v>
      </c>
    </row>
    <row r="99" spans="1:6" ht="24">
      <c r="A99" s="2857">
        <v>27</v>
      </c>
      <c r="B99" s="3474"/>
      <c r="C99" s="2831" t="s">
        <v>2698</v>
      </c>
      <c r="D99" s="2831" t="s">
        <v>2699</v>
      </c>
      <c r="E99" s="2857">
        <v>0.1</v>
      </c>
      <c r="F99" s="2857">
        <v>15</v>
      </c>
    </row>
    <row r="100" spans="1:6" ht="13.5">
      <c r="A100" s="2857">
        <v>28</v>
      </c>
      <c r="B100" s="3474"/>
      <c r="C100" s="2831" t="s">
        <v>2700</v>
      </c>
      <c r="D100" s="2831" t="s">
        <v>2701</v>
      </c>
      <c r="E100" s="2857">
        <v>0.1</v>
      </c>
      <c r="F100" s="2857">
        <v>15</v>
      </c>
    </row>
    <row r="101" spans="1:6" ht="13.5">
      <c r="A101" s="2857">
        <v>29</v>
      </c>
      <c r="B101" s="3474"/>
      <c r="C101" s="2831" t="s">
        <v>2702</v>
      </c>
      <c r="D101" s="2831" t="s">
        <v>2703</v>
      </c>
      <c r="E101" s="2857">
        <v>0.1</v>
      </c>
      <c r="F101" s="2857">
        <v>15</v>
      </c>
    </row>
    <row r="102" spans="1:6" ht="13.5">
      <c r="A102" s="2857">
        <v>30</v>
      </c>
      <c r="B102" s="3474"/>
      <c r="C102" s="2831" t="s">
        <v>2704</v>
      </c>
      <c r="D102" s="2831" t="s">
        <v>2705</v>
      </c>
      <c r="E102" s="2857">
        <v>0.1</v>
      </c>
      <c r="F102" s="2857">
        <v>15</v>
      </c>
    </row>
    <row r="103" spans="1:6" ht="24">
      <c r="A103" s="2857">
        <v>31</v>
      </c>
      <c r="B103" s="3474"/>
      <c r="C103" s="2831" t="s">
        <v>2706</v>
      </c>
      <c r="D103" s="2831" t="s">
        <v>2707</v>
      </c>
      <c r="E103" s="2857">
        <v>0.1</v>
      </c>
      <c r="F103" s="2857">
        <v>15</v>
      </c>
    </row>
    <row r="104" spans="1:6" ht="24">
      <c r="A104" s="2857">
        <v>32</v>
      </c>
      <c r="B104" s="3474"/>
      <c r="C104" s="2831" t="s">
        <v>2708</v>
      </c>
      <c r="D104" s="2831" t="s">
        <v>2709</v>
      </c>
      <c r="E104" s="2857">
        <v>0.1</v>
      </c>
      <c r="F104" s="2857">
        <v>15</v>
      </c>
    </row>
    <row r="105" spans="1:6" ht="24">
      <c r="A105" s="2857">
        <v>33</v>
      </c>
      <c r="B105" s="3474"/>
      <c r="C105" s="2831" t="s">
        <v>2710</v>
      </c>
      <c r="D105" s="2831" t="s">
        <v>2711</v>
      </c>
      <c r="E105" s="2857">
        <v>0.1</v>
      </c>
      <c r="F105" s="2857">
        <v>15</v>
      </c>
    </row>
    <row r="106" spans="1:6" ht="24">
      <c r="A106" s="2857">
        <v>34</v>
      </c>
      <c r="B106" s="3483"/>
      <c r="C106" s="2831" t="s">
        <v>2712</v>
      </c>
      <c r="D106" s="2831" t="s">
        <v>2713</v>
      </c>
      <c r="E106" s="2857">
        <v>0.1</v>
      </c>
      <c r="F106" s="2857">
        <v>15</v>
      </c>
    </row>
    <row r="107" spans="1:6" ht="24">
      <c r="A107" s="2857">
        <v>35</v>
      </c>
      <c r="B107" s="3479" t="s">
        <v>2714</v>
      </c>
      <c r="C107" s="2857" t="s">
        <v>2715</v>
      </c>
      <c r="D107" s="2831" t="s">
        <v>2716</v>
      </c>
      <c r="E107" s="2857">
        <v>0.15</v>
      </c>
      <c r="F107" s="2857">
        <v>20</v>
      </c>
    </row>
    <row r="108" spans="1:6" ht="13.5">
      <c r="A108" s="2857">
        <v>36</v>
      </c>
      <c r="B108" s="3474"/>
      <c r="C108" s="2857" t="s">
        <v>2717</v>
      </c>
      <c r="D108" s="2831" t="s">
        <v>2718</v>
      </c>
      <c r="E108" s="2857">
        <v>0.15</v>
      </c>
      <c r="F108" s="2857">
        <v>20</v>
      </c>
    </row>
    <row r="109" spans="1:6" ht="13.5">
      <c r="A109" s="2857">
        <v>37</v>
      </c>
      <c r="B109" s="3474"/>
      <c r="C109" s="2857" t="s">
        <v>2719</v>
      </c>
      <c r="D109" s="2831" t="s">
        <v>2720</v>
      </c>
      <c r="E109" s="2857">
        <v>0.15</v>
      </c>
      <c r="F109" s="2857">
        <v>20</v>
      </c>
    </row>
    <row r="110" spans="1:6" ht="13.5">
      <c r="A110" s="2857">
        <v>38</v>
      </c>
      <c r="B110" s="3474"/>
      <c r="C110" s="2857" t="s">
        <v>2721</v>
      </c>
      <c r="D110" s="2831" t="s">
        <v>2722</v>
      </c>
      <c r="E110" s="2857">
        <v>0.1</v>
      </c>
      <c r="F110" s="2857">
        <v>15</v>
      </c>
    </row>
    <row r="111" spans="1:6" ht="24">
      <c r="A111" s="2857">
        <v>39</v>
      </c>
      <c r="B111" s="3474"/>
      <c r="C111" s="2857" t="s">
        <v>2723</v>
      </c>
      <c r="D111" s="2831" t="s">
        <v>2724</v>
      </c>
      <c r="E111" s="2857">
        <v>0.1</v>
      </c>
      <c r="F111" s="2857">
        <v>15</v>
      </c>
    </row>
    <row r="112" spans="1:6" ht="24">
      <c r="A112" s="2857">
        <v>40</v>
      </c>
      <c r="B112" s="3483"/>
      <c r="C112" s="2857" t="s">
        <v>2725</v>
      </c>
      <c r="D112" s="2831" t="s">
        <v>2726</v>
      </c>
      <c r="E112" s="2857">
        <v>0.1</v>
      </c>
      <c r="F112" s="2857">
        <v>15</v>
      </c>
    </row>
    <row r="113" spans="1:6" ht="13.5">
      <c r="A113" s="2857">
        <v>41</v>
      </c>
      <c r="B113" s="3484" t="s">
        <v>2727</v>
      </c>
      <c r="C113" s="2857" t="s">
        <v>2728</v>
      </c>
      <c r="D113" s="2831" t="s">
        <v>2729</v>
      </c>
      <c r="E113" s="2857">
        <v>0.1</v>
      </c>
      <c r="F113" s="2857">
        <v>15</v>
      </c>
    </row>
    <row r="114" spans="1:6" ht="13.5">
      <c r="A114" s="2857">
        <v>42</v>
      </c>
      <c r="B114" s="3484"/>
      <c r="C114" s="2857" t="s">
        <v>2730</v>
      </c>
      <c r="D114" s="2831" t="s">
        <v>2731</v>
      </c>
      <c r="E114" s="2857">
        <v>0.1</v>
      </c>
      <c r="F114" s="2857">
        <v>15</v>
      </c>
    </row>
    <row r="115" spans="1:6" ht="24">
      <c r="A115" s="2857">
        <v>43</v>
      </c>
      <c r="B115" s="3484"/>
      <c r="C115" s="2857" t="s">
        <v>2732</v>
      </c>
      <c r="D115" s="2831" t="s">
        <v>2733</v>
      </c>
      <c r="E115" s="2857">
        <v>0.1</v>
      </c>
      <c r="F115" s="2857">
        <v>15</v>
      </c>
    </row>
    <row r="116" spans="1:6" ht="13.5">
      <c r="A116" s="2857">
        <v>44</v>
      </c>
      <c r="B116" s="3479" t="s">
        <v>2734</v>
      </c>
      <c r="C116" s="2857" t="s">
        <v>2735</v>
      </c>
      <c r="D116" s="2831" t="s">
        <v>2736</v>
      </c>
      <c r="E116" s="2857">
        <v>0.1</v>
      </c>
      <c r="F116" s="2857">
        <v>15</v>
      </c>
    </row>
    <row r="117" spans="1:6" ht="24">
      <c r="A117" s="2857">
        <v>45</v>
      </c>
      <c r="B117" s="3483"/>
      <c r="C117" s="2831" t="s">
        <v>2737</v>
      </c>
      <c r="D117" s="2831" t="s">
        <v>2738</v>
      </c>
      <c r="E117" s="2857">
        <v>0.1</v>
      </c>
      <c r="F117" s="2857">
        <v>15</v>
      </c>
    </row>
    <row r="118" spans="1:6" ht="24">
      <c r="A118" s="2857">
        <v>46</v>
      </c>
      <c r="B118" s="3479" t="s">
        <v>2739</v>
      </c>
      <c r="C118" s="2857" t="s">
        <v>2740</v>
      </c>
      <c r="D118" s="2831" t="s">
        <v>2741</v>
      </c>
      <c r="E118" s="2857">
        <v>0.1</v>
      </c>
      <c r="F118" s="2857">
        <v>15</v>
      </c>
    </row>
    <row r="119" spans="1:6" ht="24">
      <c r="A119" s="2857">
        <v>47</v>
      </c>
      <c r="B119" s="3483"/>
      <c r="C119" s="2857" t="s">
        <v>2742</v>
      </c>
      <c r="D119" s="2831" t="s">
        <v>2743</v>
      </c>
      <c r="E119" s="2857">
        <v>0.1</v>
      </c>
      <c r="F119" s="2857">
        <v>15</v>
      </c>
    </row>
    <row r="120" spans="1:6" ht="13.5">
      <c r="A120" s="2857">
        <v>48</v>
      </c>
      <c r="B120" s="3479" t="s">
        <v>2744</v>
      </c>
      <c r="C120" s="2857" t="s">
        <v>2745</v>
      </c>
      <c r="D120" s="2831" t="s">
        <v>2746</v>
      </c>
      <c r="E120" s="2857">
        <v>0.1</v>
      </c>
      <c r="F120" s="2857">
        <v>15</v>
      </c>
    </row>
    <row r="121" spans="1:6" ht="13.5">
      <c r="A121" s="2857">
        <v>49</v>
      </c>
      <c r="B121" s="3483"/>
      <c r="C121" s="2857" t="s">
        <v>2747</v>
      </c>
      <c r="D121" s="2831" t="s">
        <v>2748</v>
      </c>
      <c r="E121" s="2857">
        <v>0.1</v>
      </c>
      <c r="F121" s="2857">
        <v>15</v>
      </c>
    </row>
    <row r="122" spans="1:6" ht="24">
      <c r="A122" s="2857">
        <v>50</v>
      </c>
      <c r="B122" s="3484" t="s">
        <v>2749</v>
      </c>
      <c r="C122" s="2857" t="s">
        <v>2750</v>
      </c>
      <c r="D122" s="2831" t="s">
        <v>2751</v>
      </c>
      <c r="E122" s="2857">
        <v>0.1</v>
      </c>
      <c r="F122" s="2857">
        <v>15</v>
      </c>
    </row>
    <row r="123" spans="1:6" ht="24">
      <c r="A123" s="2857">
        <v>51</v>
      </c>
      <c r="B123" s="3484"/>
      <c r="C123" s="2857" t="s">
        <v>2752</v>
      </c>
      <c r="D123" s="2831" t="s">
        <v>2753</v>
      </c>
      <c r="E123" s="2857">
        <v>0.1</v>
      </c>
      <c r="F123" s="2857">
        <v>15</v>
      </c>
    </row>
    <row r="124" spans="1:6" ht="24">
      <c r="A124" s="2857">
        <v>52</v>
      </c>
      <c r="B124" s="3484" t="s">
        <v>2754</v>
      </c>
      <c r="C124" s="2857" t="s">
        <v>2755</v>
      </c>
      <c r="D124" s="2831" t="s">
        <v>2756</v>
      </c>
      <c r="E124" s="2857">
        <v>0.1</v>
      </c>
      <c r="F124" s="2857">
        <v>15</v>
      </c>
    </row>
    <row r="125" spans="1:6" ht="24">
      <c r="A125" s="2857">
        <v>53</v>
      </c>
      <c r="B125" s="3484"/>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84" t="s">
        <v>2762</v>
      </c>
      <c r="C127" s="2857" t="s">
        <v>2763</v>
      </c>
      <c r="D127" s="2831" t="s">
        <v>2764</v>
      </c>
      <c r="E127" s="2857">
        <v>0.1</v>
      </c>
      <c r="F127" s="2857">
        <v>15</v>
      </c>
    </row>
    <row r="128" spans="1:6" ht="13.5">
      <c r="A128" s="2857">
        <v>56</v>
      </c>
      <c r="B128" s="3484"/>
      <c r="C128" s="2857" t="s">
        <v>2765</v>
      </c>
      <c r="D128" s="2831" t="s">
        <v>2766</v>
      </c>
      <c r="E128" s="2857">
        <v>0.1</v>
      </c>
      <c r="F128" s="2857">
        <v>15</v>
      </c>
    </row>
    <row r="129" spans="1:6" ht="24">
      <c r="A129" s="2857">
        <v>57</v>
      </c>
      <c r="B129" s="3484"/>
      <c r="C129" s="2857" t="s">
        <v>2767</v>
      </c>
      <c r="D129" s="2831" t="s">
        <v>2768</v>
      </c>
      <c r="E129" s="2857">
        <v>0.1</v>
      </c>
      <c r="F129" s="2857">
        <v>15</v>
      </c>
    </row>
    <row r="130" spans="1:6" ht="24">
      <c r="A130" s="2857">
        <v>58</v>
      </c>
      <c r="B130" s="3484" t="s">
        <v>2769</v>
      </c>
      <c r="C130" s="2857" t="s">
        <v>2770</v>
      </c>
      <c r="D130" s="2831" t="s">
        <v>2771</v>
      </c>
      <c r="E130" s="2857">
        <v>0.1</v>
      </c>
      <c r="F130" s="2857">
        <v>15</v>
      </c>
    </row>
    <row r="131" spans="1:6" ht="13.5">
      <c r="A131" s="2857">
        <v>59</v>
      </c>
      <c r="B131" s="3484"/>
      <c r="C131" s="2857" t="s">
        <v>2772</v>
      </c>
      <c r="D131" s="2831" t="s">
        <v>2773</v>
      </c>
      <c r="E131" s="2857">
        <v>0.1</v>
      </c>
      <c r="F131" s="2857">
        <v>15</v>
      </c>
    </row>
    <row r="132" spans="1:6" ht="13.5">
      <c r="A132" s="2857">
        <v>60</v>
      </c>
      <c r="B132" s="3479" t="s">
        <v>2774</v>
      </c>
      <c r="C132" s="2857" t="s">
        <v>2775</v>
      </c>
      <c r="D132" s="2831" t="s">
        <v>2776</v>
      </c>
      <c r="E132" s="2857">
        <v>0.1</v>
      </c>
      <c r="F132" s="2857">
        <v>15</v>
      </c>
    </row>
    <row r="133" spans="1:6" ht="13.5">
      <c r="A133" s="2857">
        <v>61</v>
      </c>
      <c r="B133" s="3483"/>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84" t="s">
        <v>2782</v>
      </c>
      <c r="C135" s="2857" t="s">
        <v>2783</v>
      </c>
      <c r="D135" s="2831" t="s">
        <v>2784</v>
      </c>
      <c r="E135" s="2857">
        <v>0.1</v>
      </c>
      <c r="F135" s="2857">
        <v>15</v>
      </c>
    </row>
    <row r="136" spans="1:6" ht="13.5">
      <c r="A136" s="2857">
        <v>64</v>
      </c>
      <c r="B136" s="3484"/>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9.5" thickBot="1">
      <c r="A4" s="1390"/>
      <c r="B4" s="3172" t="s">
        <v>917</v>
      </c>
      <c r="C4" s="3172"/>
      <c r="D4" s="3172"/>
      <c r="E4" s="1390"/>
    </row>
    <row r="5" spans="1:5" ht="16.5" thickTop="1">
      <c r="B5" s="3170" t="s">
        <v>909</v>
      </c>
      <c r="C5" s="1391" t="s">
        <v>910</v>
      </c>
      <c r="D5" s="797">
        <f ca="1">结果表!H101</f>
        <v>50724</v>
      </c>
    </row>
    <row r="6" spans="1:5" ht="15.75">
      <c r="B6" s="3170"/>
      <c r="C6" s="1391" t="s">
        <v>911</v>
      </c>
      <c r="D6" s="797" t="str">
        <f ca="1">NUMBERSTRING(INT(D5*10000),2)&amp;"元整"</f>
        <v>伍亿零柒佰贰拾肆万元整</v>
      </c>
    </row>
    <row r="7" spans="1:5" ht="15.75">
      <c r="B7" s="3175"/>
      <c r="C7" s="1392" t="s">
        <v>912</v>
      </c>
      <c r="D7" s="798">
        <f ca="1">结果表!H102</f>
        <v>35875</v>
      </c>
    </row>
    <row r="8" spans="1:5" ht="15.75">
      <c r="B8" s="3176" t="str">
        <f>结果表!E103</f>
        <v>2.估价师知悉的法定优先受偿款</v>
      </c>
      <c r="C8" s="1393" t="s">
        <v>913</v>
      </c>
      <c r="D8" s="798">
        <f>结果表!H103</f>
        <v>0</v>
      </c>
    </row>
    <row r="9" spans="1:5" ht="15.75">
      <c r="B9" s="317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9" t="str">
        <f>结果表!E107</f>
        <v>3.房地产抵押价值</v>
      </c>
      <c r="C13" s="1396" t="s">
        <v>910</v>
      </c>
      <c r="D13" s="800">
        <f ca="1">结果表!H107</f>
        <v>50724</v>
      </c>
    </row>
    <row r="14" spans="1:5" ht="15.75">
      <c r="B14" s="3170"/>
      <c r="C14" s="1391" t="s">
        <v>911</v>
      </c>
      <c r="D14" s="797" t="str">
        <f ca="1">NUMBERSTRING(INT(D13*10000),2)&amp;"元整"</f>
        <v>伍亿零柒佰贰拾肆万元整</v>
      </c>
    </row>
    <row r="15" spans="1:5" ht="15">
      <c r="B15" s="3175"/>
      <c r="C15" s="1392" t="s">
        <v>921</v>
      </c>
      <c r="D15" s="806">
        <f ca="1">结果表!H108</f>
        <v>35875</v>
      </c>
    </row>
    <row r="16" spans="1:5" ht="15">
      <c r="B16" s="3176" t="str">
        <f>结果表!E109</f>
        <v>——</v>
      </c>
      <c r="C16" s="1396" t="s">
        <v>922</v>
      </c>
      <c r="D16" s="1397" t="str">
        <f>结果表!H109</f>
        <v>——</v>
      </c>
    </row>
    <row r="17" spans="1:5" ht="15.75">
      <c r="B17" s="3177"/>
      <c r="C17" s="1391" t="s">
        <v>923</v>
      </c>
      <c r="D17" s="797" t="e">
        <f>NUMBERSTRING(INT(D16*10000),2)&amp;"元整"</f>
        <v>#VALUE!</v>
      </c>
    </row>
    <row r="18" spans="1:5" ht="15">
      <c r="B18" s="3178"/>
      <c r="C18" s="1392" t="s">
        <v>912</v>
      </c>
      <c r="D18" s="806" t="str">
        <f>结果表!H110</f>
        <v>——</v>
      </c>
    </row>
    <row r="19" spans="1:5" ht="15.75">
      <c r="B19" s="3169" t="str">
        <f>结果表!E111</f>
        <v>——</v>
      </c>
      <c r="C19" s="1396" t="s">
        <v>910</v>
      </c>
      <c r="D19" s="798" t="str">
        <f>结果表!H111</f>
        <v>——</v>
      </c>
    </row>
    <row r="20" spans="1:5" ht="15.75">
      <c r="B20" s="3170"/>
      <c r="C20" s="1391" t="s">
        <v>923</v>
      </c>
      <c r="D20" s="797" t="e">
        <f>NUMBERSTRING(INT(D19*10000),2)&amp;"元整"</f>
        <v>#VALUE!</v>
      </c>
    </row>
    <row r="21" spans="1:5" ht="15.75" thickBot="1">
      <c r="B21" s="317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1.196</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1.1328</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36028</v>
      </c>
      <c r="C2" s="2" t="s">
        <v>106</v>
      </c>
      <c r="D2" s="191"/>
      <c r="E2" s="191"/>
      <c r="F2" s="191"/>
      <c r="G2" s="191"/>
    </row>
    <row r="3" spans="1:7" s="192" customFormat="1" ht="18" customHeight="1" thickBot="1">
      <c r="A3" s="195" t="s">
        <v>58</v>
      </c>
      <c r="B3" s="196">
        <f ca="1">ROUND(B2*10000/'数据-汇总表'!E3,0)</f>
        <v>25481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283</v>
      </c>
      <c r="D10" s="795">
        <f>'数据-汇总表'!E6</f>
        <v>14139.199999999997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283</v>
      </c>
      <c r="D19" s="204">
        <f>'数据-汇总表'!E3</f>
        <v>14139.199999999997</v>
      </c>
      <c r="E19" s="203">
        <f>'数据-取费表'!B31</f>
        <v>200</v>
      </c>
      <c r="F19" s="223"/>
      <c r="G19" s="1" t="s">
        <v>436</v>
      </c>
    </row>
    <row r="20" spans="1:7" s="206" customFormat="1" ht="13.5" customHeight="1">
      <c r="A20" s="731" t="s">
        <v>419</v>
      </c>
      <c r="B20" s="202" t="s">
        <v>77</v>
      </c>
      <c r="C20" s="224">
        <f>ROUND((C5+C19)*F20,0)</f>
        <v>418</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1437</v>
      </c>
      <c r="D22" s="227">
        <f ca="1">C26</f>
        <v>1E-3</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19</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3197</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3197</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6335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5656</v>
      </c>
      <c r="D34" s="209"/>
      <c r="E34" s="212"/>
      <c r="F34" s="249">
        <f>IF('数据-取费表'!B24=0,1,'数据-取费表'!N16)</f>
        <v>1</v>
      </c>
      <c r="G34" s="211" t="s">
        <v>89</v>
      </c>
    </row>
    <row r="35" spans="1:7" ht="13.5" customHeight="1">
      <c r="A35" s="734" t="s">
        <v>351</v>
      </c>
      <c r="B35" s="207" t="s">
        <v>33</v>
      </c>
      <c r="C35" s="212">
        <f>ROUND(C34*F35,0)</f>
        <v>283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283</v>
      </c>
      <c r="D37" s="209">
        <f>'数据-汇总表'!E3</f>
        <v>14139.199999999997</v>
      </c>
      <c r="E37" s="241">
        <f>'数据-取费表'!B35</f>
        <v>200</v>
      </c>
      <c r="F37" s="251"/>
      <c r="G37" s="253" t="s">
        <v>92</v>
      </c>
    </row>
    <row r="38" spans="1:7" ht="13.5" customHeight="1">
      <c r="A38" s="734" t="s">
        <v>354</v>
      </c>
      <c r="B38" s="207" t="s">
        <v>36</v>
      </c>
      <c r="C38" s="212">
        <f>ROUND(C34*F38,0)</f>
        <v>113</v>
      </c>
      <c r="D38" s="212"/>
      <c r="E38" s="212"/>
      <c r="F38" s="251">
        <f>'数据-取费表'!B36</f>
        <v>0.02</v>
      </c>
      <c r="G38" s="211" t="s">
        <v>90</v>
      </c>
    </row>
    <row r="39" spans="1:7" s="206" customFormat="1" ht="13.5" customHeight="1">
      <c r="A39" s="731" t="s">
        <v>338</v>
      </c>
      <c r="B39" s="202" t="s">
        <v>77</v>
      </c>
      <c r="C39" s="224">
        <f>ROUND(C33*F20,0)</f>
        <v>127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216</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212</v>
      </c>
      <c r="D42" s="230"/>
      <c r="E42" s="230"/>
      <c r="F42" s="231"/>
      <c r="G42" s="3350" t="s">
        <v>94</v>
      </c>
    </row>
    <row r="43" spans="1:7" ht="13.5" customHeight="1">
      <c r="A43" s="734" t="s">
        <v>347</v>
      </c>
      <c r="B43" s="207" t="s">
        <v>426</v>
      </c>
      <c r="C43" s="230">
        <f ca="1">ROUND(IF('数据-取费表'!B22&lt;=1,C39*F22*'数据-取费表'!B21/2,C39*(POWER((1+F22),'数据-取费表'!B21/2)-1)),0)</f>
        <v>4</v>
      </c>
      <c r="D43" s="230"/>
      <c r="E43" s="230"/>
      <c r="F43" s="231"/>
      <c r="G43" s="3351"/>
    </row>
    <row r="44" spans="1:7" ht="13.5" customHeight="1">
      <c r="A44" s="734" t="s">
        <v>348</v>
      </c>
      <c r="B44" s="207" t="s">
        <v>428</v>
      </c>
      <c r="C44" s="230">
        <f ca="1">ROUND(IF('数据-取费表'!B22&lt;=1,C40*F22*'数据-取费表'!B21/2,C40*(POWER((1+F22),'数据-取费表'!B21/2)-1)),4)</f>
        <v>1E-3</v>
      </c>
      <c r="D44" s="230"/>
      <c r="E44" s="230"/>
      <c r="F44" s="231"/>
      <c r="G44" s="3352"/>
    </row>
    <row r="45" spans="1:7" s="206" customFormat="1" ht="13.5" customHeight="1">
      <c r="A45" s="731" t="s">
        <v>341</v>
      </c>
      <c r="B45" s="236" t="s">
        <v>85</v>
      </c>
      <c r="C45" s="237">
        <f>C46</f>
        <v>969</v>
      </c>
      <c r="D45" s="227">
        <f>C47</f>
        <v>4.4999999999999997E-3</v>
      </c>
      <c r="E45" s="228" t="s">
        <v>102</v>
      </c>
      <c r="F45" s="238"/>
      <c r="G45" s="239" t="s">
        <v>434</v>
      </c>
    </row>
    <row r="46" spans="1:7" s="206" customFormat="1" ht="13.5" customHeight="1">
      <c r="A46" s="734" t="s">
        <v>349</v>
      </c>
      <c r="B46" s="240" t="s">
        <v>427</v>
      </c>
      <c r="C46" s="241">
        <f>ROUND((C33+C39)*F27,0)</f>
        <v>969</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8393</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7554</v>
      </c>
      <c r="D51" s="224"/>
      <c r="E51" s="224"/>
      <c r="F51" s="256"/>
      <c r="G51" s="226" t="s">
        <v>37</v>
      </c>
    </row>
    <row r="52" spans="1:7" s="200" customFormat="1" ht="16.5" thickBot="1">
      <c r="A52" s="257" t="s">
        <v>38</v>
      </c>
      <c r="B52" s="258"/>
      <c r="C52" s="259">
        <f ca="1">C31+C51</f>
        <v>36028</v>
      </c>
      <c r="D52" s="258"/>
      <c r="E52" s="258"/>
      <c r="F52" s="258"/>
      <c r="G52" s="260"/>
    </row>
    <row r="55" spans="1:7" ht="15">
      <c r="B55" s="262" t="s">
        <v>39</v>
      </c>
      <c r="C55" s="263"/>
    </row>
    <row r="56" spans="1:7">
      <c r="B56" s="265" t="s">
        <v>40</v>
      </c>
      <c r="C56" s="266">
        <f ca="1">ROUND(C51/C52,3)</f>
        <v>0.21</v>
      </c>
    </row>
    <row r="57" spans="1:7">
      <c r="B57" s="265" t="s">
        <v>41</v>
      </c>
      <c r="C57" s="267">
        <f ca="1">1-C56</f>
        <v>0.79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7" t="s">
        <v>2832</v>
      </c>
      <c r="B1" s="3487"/>
      <c r="C1" s="3487"/>
      <c r="D1" s="3487"/>
      <c r="E1" s="3487"/>
      <c r="F1" s="3487"/>
      <c r="G1" s="3488"/>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85"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86"/>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9" t="s">
        <v>3174</v>
      </c>
      <c r="B1" s="3489"/>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3"/>
  </cols>
  <sheetData>
    <row r="1" spans="1:6">
      <c r="A1" s="3490" t="s">
        <v>3225</v>
      </c>
      <c r="B1" s="3490"/>
      <c r="C1" s="3490"/>
      <c r="D1" s="3490"/>
      <c r="E1" s="3490"/>
      <c r="F1" s="3491"/>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45574</v>
      </c>
      <c r="B1" s="2929" t="s">
        <v>3375</v>
      </c>
      <c r="C1" s="2930"/>
      <c r="D1" s="2930"/>
      <c r="E1" s="2930"/>
      <c r="F1" s="2930"/>
      <c r="G1" s="2930"/>
      <c r="H1" s="2930"/>
      <c r="I1" s="2930"/>
      <c r="J1" s="2896"/>
      <c r="K1" s="2930" t="s">
        <v>454</v>
      </c>
      <c r="L1" s="2930"/>
      <c r="M1" s="2930"/>
      <c r="N1" s="2930"/>
      <c r="O1" s="2930"/>
      <c r="P1" s="2930"/>
      <c r="Q1" s="2896"/>
      <c r="R1" s="3492" t="s">
        <v>456</v>
      </c>
      <c r="S1" s="3493"/>
      <c r="T1" s="3493"/>
      <c r="U1" s="3493"/>
      <c r="V1" s="3493"/>
      <c r="W1" s="3493"/>
      <c r="X1" s="2896"/>
      <c r="Y1" s="3492" t="s">
        <v>457</v>
      </c>
      <c r="Z1" s="3493"/>
      <c r="AA1" s="3493"/>
      <c r="AB1" s="3493"/>
      <c r="AC1" s="3493"/>
      <c r="AD1" s="3493"/>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4"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92" t="s">
        <v>2820</v>
      </c>
      <c r="S26" s="3493"/>
      <c r="T26" s="3493"/>
      <c r="U26" s="3493"/>
      <c r="V26" s="3493"/>
      <c r="W26" s="3493"/>
      <c r="X26" s="2896"/>
      <c r="Y26" s="3492" t="s">
        <v>2821</v>
      </c>
      <c r="Z26" s="3493"/>
      <c r="AA26" s="3493"/>
      <c r="AB26" s="3493"/>
      <c r="AC26" s="3493"/>
      <c r="AD26" s="3493"/>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45574</v>
      </c>
      <c r="D1" s="1217" t="s">
        <v>603</v>
      </c>
      <c r="E1" s="1212">
        <f>'数据-取费表'!B22</f>
        <v>2</v>
      </c>
      <c r="F1" s="1217" t="s">
        <v>604</v>
      </c>
      <c r="G1" s="1213">
        <f ca="1">INDIRECT("d"&amp;$K$1)/100</f>
        <v>3.3500000000000002E-2</v>
      </c>
      <c r="H1" s="1217" t="s">
        <v>634</v>
      </c>
      <c r="I1" s="1213">
        <f ca="1">F4/100</f>
        <v>1.4999999999999999E-2</v>
      </c>
      <c r="J1" s="1218">
        <f>IF(C1&gt;C13,0,MATCH(C1,C$13:C$114,-1))+IF(SUMIF(C13:C114,C1,D13:D114)=0,13,12)</f>
        <v>14</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81"/>
      <c r="B3" s="3181"/>
      <c r="C3" s="3181"/>
      <c r="D3" s="801" t="s">
        <v>925</v>
      </c>
      <c r="E3" s="801" t="s">
        <v>931</v>
      </c>
      <c r="F3" s="801" t="s">
        <v>925</v>
      </c>
      <c r="G3" s="801" t="s">
        <v>926</v>
      </c>
      <c r="H3" s="801" t="s">
        <v>925</v>
      </c>
      <c r="I3" s="801" t="s">
        <v>926</v>
      </c>
    </row>
    <row r="4" spans="1:9" ht="15">
      <c r="A4" s="1402" t="str">
        <f>项目基本情况!S2</f>
        <v>北京市房地产</v>
      </c>
      <c r="B4" s="801">
        <f>项目基本情况!C17</f>
        <v>14139.199999999997</v>
      </c>
      <c r="C4" s="801">
        <f>项目基本情况!C18</f>
        <v>9256.19</v>
      </c>
      <c r="D4" s="801">
        <f ca="1">结果表!D118</f>
        <v>46007</v>
      </c>
      <c r="E4" s="801">
        <f ca="1">结果表!E118</f>
        <v>32539</v>
      </c>
      <c r="F4" s="801">
        <f ca="1">结果表!F118</f>
        <v>4717</v>
      </c>
      <c r="G4" s="801">
        <f ca="1">结果表!G118</f>
        <v>3336</v>
      </c>
      <c r="H4" s="801">
        <f ca="1">结果表!H118</f>
        <v>50724</v>
      </c>
      <c r="I4" s="801">
        <f ca="1">结果表!I118</f>
        <v>35875</v>
      </c>
    </row>
    <row r="5" spans="1:9" ht="30" customHeight="1">
      <c r="A5" s="3181" t="s">
        <v>927</v>
      </c>
      <c r="B5" s="3181"/>
      <c r="C5" s="3181"/>
      <c r="D5" s="3181" t="str">
        <f ca="1">结果表!D119</f>
        <v>肆亿陆仟零柒万元整</v>
      </c>
      <c r="E5" s="3181"/>
      <c r="F5" s="3181" t="str">
        <f ca="1">结果表!F119</f>
        <v>肆仟柒佰壹拾柒万元整</v>
      </c>
      <c r="G5" s="3181"/>
      <c r="H5" s="3181" t="str">
        <f ca="1">结果表!H119</f>
        <v>伍亿零柒佰贰拾肆万元整</v>
      </c>
      <c r="I5" s="3181"/>
    </row>
    <row r="6" spans="1:9" ht="15.75">
      <c r="A6" s="3182" t="str">
        <f>结果表!A120</f>
        <v>估价师知悉的法定优先受偿款</v>
      </c>
      <c r="B6" s="3182"/>
      <c r="C6" s="3182"/>
      <c r="D6" s="3182">
        <f>结果表!D120</f>
        <v>0</v>
      </c>
      <c r="E6" s="3182"/>
      <c r="F6" s="3182"/>
      <c r="G6" s="3182"/>
      <c r="H6" s="3182"/>
      <c r="I6" s="3182"/>
    </row>
    <row r="7" spans="1:9" ht="15">
      <c r="A7" s="3181" t="s">
        <v>927</v>
      </c>
      <c r="B7" s="3181"/>
      <c r="C7" s="3181"/>
      <c r="D7" s="3183" t="str">
        <f>结果表!D121</f>
        <v>零元整</v>
      </c>
      <c r="E7" s="3184"/>
      <c r="F7" s="3184"/>
      <c r="G7" s="3184"/>
      <c r="H7" s="3184"/>
      <c r="I7" s="3185"/>
    </row>
    <row r="8" spans="1:9" ht="15.75">
      <c r="A8" s="3182" t="str">
        <f>结果表!A122</f>
        <v>房地产抵押价值</v>
      </c>
      <c r="B8" s="3182"/>
      <c r="C8" s="3182"/>
      <c r="D8" s="3182">
        <f ca="1">结果表!D122</f>
        <v>50724</v>
      </c>
      <c r="E8" s="3182"/>
      <c r="F8" s="3182"/>
      <c r="G8" s="3182"/>
      <c r="H8" s="3182"/>
      <c r="I8" s="3182"/>
    </row>
    <row r="9" spans="1:9" ht="15">
      <c r="A9" s="3181" t="s">
        <v>927</v>
      </c>
      <c r="B9" s="3181"/>
      <c r="C9" s="3181"/>
      <c r="D9" s="3181" t="str">
        <f ca="1">结果表!D123</f>
        <v>伍亿零柒佰贰拾肆万元整</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1" t="s">
        <v>927</v>
      </c>
      <c r="B11" s="3181"/>
      <c r="C11" s="3181"/>
      <c r="D11" s="3181" t="e">
        <f>结果表!D125</f>
        <v>#VALUE!</v>
      </c>
      <c r="E11" s="3181"/>
      <c r="F11" s="3181"/>
      <c r="G11" s="3181"/>
      <c r="H11" s="3181"/>
      <c r="I11" s="3181"/>
    </row>
    <row r="12" spans="1:9" ht="15.75">
      <c r="A12" s="3182" t="str">
        <f>结果表!A126</f>
        <v/>
      </c>
      <c r="B12" s="3182"/>
      <c r="C12" s="3182"/>
      <c r="D12" s="3182" t="str">
        <f>结果表!D126</f>
        <v>——</v>
      </c>
      <c r="E12" s="3182"/>
      <c r="F12" s="3182"/>
      <c r="G12" s="3182"/>
      <c r="H12" s="3182"/>
      <c r="I12" s="3182"/>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8" t="s">
        <v>949</v>
      </c>
      <c r="B1" s="3188"/>
      <c r="C1" s="3188"/>
      <c r="D1" s="3188"/>
    </row>
    <row r="2" spans="1:4" ht="18">
      <c r="A2" s="3189" t="s">
        <v>933</v>
      </c>
      <c r="B2" s="3189"/>
      <c r="C2" s="3189"/>
      <c r="D2" s="318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9" t="s">
        <v>939</v>
      </c>
      <c r="B6" s="3189"/>
      <c r="C6" s="3189"/>
      <c r="D6" s="318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0"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91" t="str">
        <f>IF(项目基本情况!B8="抵押","4.本次评估估价师所知悉的法定优先受偿款情况说明如下：","——")</f>
        <v>4.本次评估估价师所知悉的法定优先受偿款情况说明如下：</v>
      </c>
      <c r="B14" s="3192"/>
      <c r="C14" s="3192"/>
      <c r="D14" s="3192"/>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4" t="s">
        <v>943</v>
      </c>
      <c r="B16" s="3194"/>
      <c r="C16" s="3194"/>
      <c r="D16" s="3194"/>
    </row>
    <row r="17" spans="1:4" ht="144" customHeight="1">
      <c r="A17" s="3194" t="s">
        <v>944</v>
      </c>
      <c r="B17" s="3194"/>
      <c r="C17" s="3194"/>
      <c r="D17" s="3194"/>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945</v>
      </c>
      <c r="B22" s="3196"/>
      <c r="C22" s="3196"/>
      <c r="D22" s="319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3">
        <v>42551</v>
      </c>
      <c r="D31" s="31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2" t="s">
        <v>956</v>
      </c>
      <c r="B15" s="3197" t="s">
        <v>109</v>
      </c>
      <c r="C15" s="3198"/>
    </row>
    <row r="16" spans="1:7" ht="13.5">
      <c r="A16" s="3203"/>
      <c r="B16" s="3197" t="s">
        <v>42</v>
      </c>
      <c r="C16" s="3198"/>
    </row>
    <row r="17" spans="1:3" ht="13.5">
      <c r="A17" s="3203"/>
      <c r="B17" s="3200" t="s">
        <v>957</v>
      </c>
      <c r="C17" s="1428" t="s">
        <v>956</v>
      </c>
    </row>
    <row r="18" spans="1:3" ht="13.5">
      <c r="A18" s="3203"/>
      <c r="B18" s="3200"/>
      <c r="C18" s="1428" t="s">
        <v>958</v>
      </c>
    </row>
    <row r="19" spans="1:3" ht="13.5">
      <c r="A19" s="3203"/>
      <c r="B19" s="3200"/>
      <c r="C19" s="1428" t="s">
        <v>959</v>
      </c>
    </row>
    <row r="20" spans="1:3" ht="13.5">
      <c r="A20" s="3204"/>
      <c r="B20" s="3199" t="s">
        <v>960</v>
      </c>
      <c r="C20" s="3198"/>
    </row>
    <row r="21" spans="1:3" ht="13.5">
      <c r="A21" s="1429" t="s">
        <v>961</v>
      </c>
      <c r="B21" s="1430"/>
      <c r="C21" s="1431"/>
    </row>
    <row r="22" spans="1:3" ht="13.5">
      <c r="A22" s="3201" t="s">
        <v>962</v>
      </c>
      <c r="B22" s="3199" t="s">
        <v>963</v>
      </c>
      <c r="C22" s="3198"/>
    </row>
    <row r="23" spans="1:3" ht="13.5">
      <c r="A23" s="3201"/>
      <c r="B23" s="3199" t="s">
        <v>964</v>
      </c>
      <c r="C23" s="3198"/>
    </row>
    <row r="24" spans="1:3" ht="13.5">
      <c r="A24" s="3201"/>
      <c r="B24" s="3199" t="s">
        <v>965</v>
      </c>
      <c r="C24" s="3198"/>
    </row>
    <row r="25" spans="1:3" ht="13.5">
      <c r="A25" s="3201"/>
      <c r="B25" s="3200" t="s">
        <v>966</v>
      </c>
      <c r="C25" s="1428" t="s">
        <v>967</v>
      </c>
    </row>
    <row r="26" spans="1:3" ht="13.5">
      <c r="A26" s="3201"/>
      <c r="B26" s="3200"/>
      <c r="C26" s="1428" t="s">
        <v>968</v>
      </c>
    </row>
    <row r="27" spans="1:3" ht="13.5">
      <c r="A27" s="3201"/>
      <c r="B27" s="3200"/>
      <c r="C27" s="1428" t="s">
        <v>969</v>
      </c>
    </row>
    <row r="28" spans="1:3" ht="13.5">
      <c r="A28" s="3201"/>
      <c r="B28" s="3200"/>
      <c r="C28" s="1428" t="s">
        <v>970</v>
      </c>
    </row>
    <row r="29" spans="1:3" ht="13.5">
      <c r="A29" s="3201"/>
      <c r="B29" s="3200"/>
      <c r="C29" s="1428" t="s">
        <v>971</v>
      </c>
    </row>
    <row r="30" spans="1:3" ht="13.5">
      <c r="A30" s="3201"/>
      <c r="B30" s="3200"/>
      <c r="C30" s="1428" t="s">
        <v>972</v>
      </c>
    </row>
    <row r="31" spans="1:3" ht="13.5">
      <c r="A31" s="3201"/>
      <c r="B31" s="3200"/>
      <c r="C31" s="1428" t="s">
        <v>973</v>
      </c>
    </row>
    <row r="32" spans="1:3" ht="13.5">
      <c r="A32" s="3201"/>
      <c r="B32" s="3200"/>
      <c r="C32" s="1428" t="s">
        <v>974</v>
      </c>
    </row>
    <row r="33" spans="1:3" ht="13.5">
      <c r="A33" s="3201"/>
      <c r="B33" s="320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45649</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59"/>
      <c r="E18" s="3207" t="s">
        <v>2162</v>
      </c>
      <c r="F18" s="3206"/>
      <c r="G18" s="320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2024-12-23T07:29:51Z</dcterms:modified>
</cp:coreProperties>
</file>