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20" windowWidth="13905" windowHeight="13140" tabRatio="885" firstSheet="13"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基准地价修正" sheetId="43"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 i="31" l="1"/>
  <c r="D7" i="31"/>
  <c r="E20" i="1"/>
  <c r="C28" i="1"/>
  <c r="C29"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F84" i="59" s="1"/>
  <c r="E85" i="59"/>
  <c r="E84" i="59"/>
  <c r="E83" i="59" s="1"/>
  <c r="C85" i="59"/>
  <c r="D85" i="59" s="1"/>
  <c r="B85" i="59"/>
  <c r="B84" i="59" s="1"/>
  <c r="F83" i="59"/>
  <c r="B83" i="59"/>
  <c r="D82" i="59"/>
  <c r="F81" i="59"/>
  <c r="F80" i="59" s="1"/>
  <c r="E81" i="59"/>
  <c r="E80" i="59"/>
  <c r="E79" i="59" s="1"/>
  <c r="C81" i="59"/>
  <c r="D81" i="59" s="1"/>
  <c r="B81" i="59"/>
  <c r="B80" i="59" s="1"/>
  <c r="F79" i="59"/>
  <c r="B79"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C36"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3" i="59" s="1"/>
  <c r="P63" i="59"/>
  <c r="U69" i="59"/>
  <c r="E68" i="59"/>
  <c r="E67"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63"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J45" i="39"/>
  <c r="W45" i="39" s="1"/>
  <c r="J44" i="39"/>
  <c r="F36" i="39"/>
  <c r="S36" i="39"/>
  <c r="H36" i="39"/>
  <c r="AB36" i="39"/>
  <c r="J36" i="39"/>
  <c r="AC36" i="39"/>
  <c r="S8" i="39"/>
  <c r="U38" i="39"/>
  <c r="H32" i="37"/>
  <c r="AB32" i="37" s="1"/>
  <c r="U8" i="37"/>
  <c r="U14" i="37"/>
  <c r="W30" i="37"/>
  <c r="F29" i="36"/>
  <c r="AA29" i="36"/>
  <c r="F16" i="36"/>
  <c r="S16" i="36"/>
  <c r="U22" i="36"/>
  <c r="S23" i="36"/>
  <c r="W22" i="36"/>
  <c r="AA31" i="36"/>
  <c r="AC31" i="36"/>
  <c r="W31" i="36"/>
  <c r="U31" i="36"/>
  <c r="J33" i="36"/>
  <c r="W33" i="36"/>
  <c r="H22" i="35"/>
  <c r="AB22" i="35" s="1"/>
  <c r="U9" i="35"/>
  <c r="S32" i="35"/>
  <c r="S31" i="35"/>
  <c r="W31" i="35"/>
  <c r="U32" i="35"/>
  <c r="F36" i="34"/>
  <c r="AA36" i="34" s="1"/>
  <c r="U39" i="34"/>
  <c r="H39" i="33"/>
  <c r="AB39"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AC34" i="36"/>
  <c r="F29" i="35"/>
  <c r="S29" i="35" s="1"/>
  <c r="U34" i="37"/>
  <c r="AB42" i="34"/>
  <c r="H38" i="34"/>
  <c r="AB38" i="34" s="1"/>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S25" i="37"/>
  <c r="W47" i="34"/>
  <c r="AB8" i="34"/>
  <c r="W14" i="33"/>
  <c r="AA13"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B15" i="21"/>
  <c r="AA16" i="35"/>
  <c r="S14" i="39"/>
  <c r="AB29" i="35"/>
  <c r="U29" i="35"/>
  <c r="AA35" i="39"/>
  <c r="U25" i="35"/>
  <c r="U36" i="37"/>
  <c r="S14" i="34"/>
  <c r="W44" i="21"/>
  <c r="U38" i="34"/>
  <c r="F40" i="34"/>
  <c r="AA40" i="34"/>
  <c r="U20" i="36"/>
  <c r="AB20" i="36"/>
  <c r="AA16" i="36"/>
  <c r="AC44" i="39"/>
  <c r="W44" i="39"/>
  <c r="H13" i="21"/>
  <c r="U13" i="21"/>
  <c r="J13" i="21"/>
  <c r="F13" i="21"/>
  <c r="AA13" i="21" s="1"/>
  <c r="J45" i="21"/>
  <c r="AC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R29" i="31"/>
  <c r="T29" i="31" s="1"/>
  <c r="F15" i="21"/>
  <c r="S15" i="21" s="1"/>
  <c r="C106" i="9"/>
  <c r="H102" i="9" s="1"/>
  <c r="AA30" i="21"/>
  <c r="J36" i="34"/>
  <c r="W36" i="34" s="1"/>
  <c r="S8" i="34"/>
  <c r="J19" i="40"/>
  <c r="AC19" i="40"/>
  <c r="W9" i="39"/>
  <c r="U14" i="39"/>
  <c r="H32" i="39"/>
  <c r="U32" i="39"/>
  <c r="F21" i="39"/>
  <c r="AA21" i="39"/>
  <c r="F31" i="37"/>
  <c r="AA31" i="37" s="1"/>
  <c r="U25" i="36"/>
  <c r="S44" i="21"/>
  <c r="AC36" i="40"/>
  <c r="F17" i="37"/>
  <c r="AA17" i="37"/>
  <c r="AB28" i="36"/>
  <c r="AB13" i="40"/>
  <c r="U33" i="40"/>
  <c r="AB13" i="37"/>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46" i="34"/>
  <c r="AA32" i="34"/>
  <c r="S31" i="33"/>
  <c r="U10" i="36"/>
  <c r="W28" i="33"/>
  <c r="W34" i="33"/>
  <c r="AC34" i="33"/>
  <c r="AA14" i="35"/>
  <c r="S14" i="35"/>
  <c r="W11" i="21"/>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c r="S17" i="37"/>
  <c r="J11" i="37"/>
  <c r="AC11" i="37" s="1"/>
  <c r="AC36" i="34"/>
  <c r="AC12" i="39"/>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W45" i="21"/>
  <c r="W13"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W39" i="33"/>
  <c r="W9" i="33"/>
  <c r="W13" i="33"/>
  <c r="AC46" i="33"/>
  <c r="AC19" i="33"/>
  <c r="W21" i="33"/>
  <c r="AC21" i="33"/>
  <c r="AB41" i="33"/>
  <c r="AB42" i="33"/>
  <c r="U13" i="33"/>
  <c r="U39" i="33"/>
  <c r="S42" i="33"/>
  <c r="S9" i="33"/>
  <c r="W42" i="21"/>
  <c r="AA39" i="21"/>
  <c r="W39" i="21"/>
  <c r="AA34" i="21"/>
  <c r="AA15"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F81" i="43"/>
  <c r="H85" i="43" s="1"/>
  <c r="H13" i="44"/>
  <c r="G59" i="40"/>
  <c r="C59" i="40" s="1"/>
  <c r="H11" i="44"/>
  <c r="C51" i="10"/>
  <c r="A8" i="54" s="1"/>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A17" i="40"/>
  <c r="AC17" i="40"/>
  <c r="AA15" i="40"/>
  <c r="S15" i="40"/>
  <c r="W15" i="40"/>
  <c r="U33" i="37"/>
  <c r="S33"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N46" i="9"/>
  <c r="H84" i="43"/>
  <c r="H9" i="44"/>
  <c r="H7" i="44"/>
  <c r="H10" i="44"/>
  <c r="N12" i="43"/>
  <c r="N4" i="43"/>
  <c r="F70" i="43" s="1"/>
  <c r="M7" i="43"/>
  <c r="N1" i="43"/>
  <c r="F59" i="43" s="1"/>
  <c r="M10" i="43"/>
  <c r="M2" i="43"/>
  <c r="H15" i="44"/>
  <c r="H86"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F48" i="43"/>
  <c r="H50" i="43" s="1"/>
  <c r="G4" i="47"/>
  <c r="B20" i="59"/>
  <c r="B19" i="59" s="1"/>
  <c r="B18" i="59" s="1"/>
  <c r="B17" i="59" s="1"/>
  <c r="AC30" i="35"/>
  <c r="U30" i="35"/>
  <c r="D16" i="59"/>
  <c r="I116" i="57"/>
  <c r="D133" i="57" s="1"/>
  <c r="B8" i="62" s="1"/>
  <c r="D120" i="57"/>
  <c r="I114" i="9"/>
  <c r="D129" i="9" s="1"/>
  <c r="I112" i="9"/>
  <c r="D39" i="50" s="1"/>
  <c r="D40" i="50" s="1"/>
  <c r="D116" i="9"/>
  <c r="D114" i="9"/>
  <c r="D115" i="9"/>
  <c r="I113" i="9" s="1"/>
  <c r="D42" i="50"/>
  <c r="D43" i="50" s="1"/>
  <c r="F7" i="61"/>
  <c r="E2" i="37"/>
  <c r="F6" i="61"/>
  <c r="D4" i="61"/>
  <c r="E2" i="11"/>
  <c r="E2" i="21"/>
  <c r="E2" i="35"/>
  <c r="D7" i="61"/>
  <c r="D5" i="61"/>
  <c r="E2" i="33"/>
  <c r="E2" i="36"/>
  <c r="D6" i="61"/>
  <c r="F4" i="61"/>
  <c r="F3" i="61"/>
  <c r="D3" i="61"/>
  <c r="E2" i="34"/>
  <c r="F5" i="61"/>
  <c r="H23" i="31"/>
  <c r="A18" i="54" l="1"/>
  <c r="B15" i="60" s="1"/>
  <c r="B16" i="59"/>
  <c r="B15" i="59" s="1"/>
  <c r="B14" i="59" s="1"/>
  <c r="B13" i="59" s="1"/>
  <c r="S17" i="59"/>
  <c r="W12" i="33"/>
  <c r="AC12" i="33"/>
  <c r="D15" i="59"/>
  <c r="D17" i="59"/>
  <c r="T17" i="59"/>
  <c r="H87" i="43"/>
  <c r="AC21" i="34"/>
  <c r="U35" i="37"/>
  <c r="AB17" i="40"/>
  <c r="B23" i="60"/>
  <c r="U32" i="33"/>
  <c r="AC32" i="33"/>
  <c r="H81" i="43"/>
  <c r="W40" i="21"/>
  <c r="AC32" i="21"/>
  <c r="AC27" i="33"/>
  <c r="W11" i="37"/>
  <c r="U27" i="36"/>
  <c r="U23" i="39"/>
  <c r="S27" i="36"/>
  <c r="U9" i="34"/>
  <c r="S31" i="21"/>
  <c r="AA27" i="33"/>
  <c r="S40" i="21"/>
  <c r="S24" i="36"/>
  <c r="W9" i="34"/>
  <c r="S37" i="34"/>
  <c r="W29" i="21"/>
  <c r="AC14" i="39"/>
  <c r="AB11" i="35"/>
  <c r="U44" i="33"/>
  <c r="S12" i="40"/>
  <c r="AA29" i="33"/>
  <c r="AB46" i="34"/>
  <c r="W44" i="33"/>
  <c r="AB21" i="39"/>
  <c r="AA15" i="39"/>
  <c r="AB25" i="39"/>
  <c r="S11" i="33"/>
  <c r="AA30" i="33"/>
  <c r="S28" i="37"/>
  <c r="AA11" i="35"/>
  <c r="S19" i="21"/>
  <c r="U31" i="33"/>
  <c r="U32" i="36"/>
  <c r="AC13" i="36"/>
  <c r="AC32" i="34"/>
  <c r="W30" i="33"/>
  <c r="W28" i="37"/>
  <c r="AB14" i="33"/>
  <c r="W13" i="35"/>
  <c r="AC27" i="40"/>
  <c r="W32" i="35"/>
  <c r="S8" i="33"/>
  <c r="AB8" i="36"/>
  <c r="U33" i="36"/>
  <c r="AC9" i="21"/>
  <c r="U33" i="21"/>
  <c r="F26" i="33"/>
  <c r="U31" i="35"/>
  <c r="AB34" i="36"/>
  <c r="W23" i="36"/>
  <c r="F39" i="37"/>
  <c r="F45" i="39"/>
  <c r="F12" i="33"/>
  <c r="H9" i="36"/>
  <c r="J9" i="36"/>
  <c r="F9" i="36"/>
  <c r="D49" i="59"/>
  <c r="T49" i="59"/>
  <c r="D36" i="59"/>
  <c r="C37" i="59"/>
  <c r="D59" i="59"/>
  <c r="C60" i="59"/>
  <c r="N63" i="59"/>
  <c r="N62" i="59"/>
  <c r="O63" i="59"/>
  <c r="O62" i="59"/>
  <c r="D63" i="59"/>
  <c r="D51" i="59"/>
  <c r="C52" i="59"/>
  <c r="B66" i="43"/>
  <c r="B86" i="43"/>
  <c r="F27" i="59"/>
  <c r="F28" i="59" s="1"/>
  <c r="F29" i="59" s="1"/>
  <c r="V29" i="59" s="1"/>
  <c r="AB30" i="59"/>
  <c r="F31" i="59"/>
  <c r="F32" i="59" s="1"/>
  <c r="F33" i="59" s="1"/>
  <c r="V33" i="59" s="1"/>
  <c r="AA34" i="59"/>
  <c r="E35" i="59"/>
  <c r="E36" i="59" s="1"/>
  <c r="E37" i="59" s="1"/>
  <c r="U37" i="59" s="1"/>
  <c r="AB5" i="59"/>
  <c r="AB7" i="59"/>
  <c r="AB6" i="59"/>
  <c r="AB36" i="59"/>
  <c r="S65" i="59"/>
  <c r="N65" i="59"/>
  <c r="V65" i="59"/>
  <c r="F64" i="59"/>
  <c r="S69" i="59"/>
  <c r="B68" i="59"/>
  <c r="B67" i="59" s="1"/>
  <c r="S77" i="59"/>
  <c r="B76" i="59"/>
  <c r="B75" i="59" s="1"/>
  <c r="AB19" i="59"/>
  <c r="U27" i="31"/>
  <c r="U25" i="31" s="1"/>
  <c r="C36" i="57" s="1"/>
  <c r="D125" i="57" s="1"/>
  <c r="Y27" i="31"/>
  <c r="Y25" i="31" s="1"/>
  <c r="C37" i="57" s="1"/>
  <c r="F125" i="57" s="1"/>
  <c r="G125" i="57" s="1"/>
  <c r="C29" i="39"/>
  <c r="B55" i="43"/>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AB31" i="59"/>
  <c r="AB33" i="59"/>
  <c r="AB35" i="59"/>
  <c r="X5" i="59"/>
  <c r="X7" i="59"/>
  <c r="X6" i="59"/>
  <c r="X8" i="59"/>
  <c r="X36" i="59"/>
  <c r="B52" i="59"/>
  <c r="B53" i="59" s="1"/>
  <c r="S53" i="59" s="1"/>
  <c r="B60" i="59"/>
  <c r="B61" i="59" s="1"/>
  <c r="S61" i="59" s="1"/>
  <c r="P65" i="59"/>
  <c r="V69" i="59"/>
  <c r="F68" i="59"/>
  <c r="F67" i="59" s="1"/>
  <c r="V77" i="59"/>
  <c r="F76" i="59"/>
  <c r="F75" i="59" s="1"/>
  <c r="AA18" i="59"/>
  <c r="AB32" i="59"/>
  <c r="X34" i="59"/>
  <c r="AB34" i="59"/>
  <c r="F35" i="59"/>
  <c r="F36" i="59" s="1"/>
  <c r="F37" i="59" s="1"/>
  <c r="V37" i="59" s="1"/>
  <c r="Y5" i="59"/>
  <c r="Z5" i="59" s="1"/>
  <c r="Y6" i="59"/>
  <c r="Z6" i="59" s="1"/>
  <c r="Y8" i="59"/>
  <c r="Z8" i="59" s="1"/>
  <c r="AA5" i="59"/>
  <c r="AA7" i="59"/>
  <c r="AA6" i="59"/>
  <c r="AA21" i="59"/>
  <c r="E12" i="59"/>
  <c r="E11" i="59" s="1"/>
  <c r="E10" i="59" s="1"/>
  <c r="E9" i="59" s="1"/>
  <c r="U13" i="59"/>
  <c r="X19" i="59"/>
  <c r="X21" i="59"/>
  <c r="AA16" i="59"/>
  <c r="AB18" i="59"/>
  <c r="Y18" i="59"/>
  <c r="Z18" i="59" s="1"/>
  <c r="Y16" i="59"/>
  <c r="Z16" i="59" s="1"/>
  <c r="AA14" i="59"/>
  <c r="AA13" i="59"/>
  <c r="F20" i="59"/>
  <c r="F19" i="59" s="1"/>
  <c r="F18" i="59" s="1"/>
  <c r="F17" i="59" s="1"/>
  <c r="V21" i="59"/>
  <c r="Y21" i="59"/>
  <c r="Z21" i="59" s="1"/>
  <c r="Y20" i="59"/>
  <c r="Z20" i="59" s="1"/>
  <c r="X18" i="59"/>
  <c r="AB14" i="59"/>
  <c r="X14" i="59"/>
  <c r="AB13" i="59"/>
  <c r="Y15" i="59"/>
  <c r="Z15" i="59" s="1"/>
  <c r="Y7" i="59"/>
  <c r="Z7" i="59" s="1"/>
  <c r="AB8" i="59"/>
  <c r="X12" i="59"/>
  <c r="AA12" i="59"/>
  <c r="AB9" i="59"/>
  <c r="AA8" i="59"/>
  <c r="AA9" i="59"/>
  <c r="AA11" i="59"/>
  <c r="X9" i="59"/>
  <c r="X10" i="59"/>
  <c r="B15" i="50"/>
  <c r="Y14" i="59"/>
  <c r="Z14" i="59" s="1"/>
  <c r="Y12" i="59"/>
  <c r="Z12" i="59" s="1"/>
  <c r="AB12" i="59"/>
  <c r="AB10" i="59"/>
  <c r="AB11" i="59"/>
  <c r="Y10" i="59"/>
  <c r="Z10" i="59" s="1"/>
  <c r="Y9" i="59"/>
  <c r="Z9" i="59" s="1"/>
  <c r="Y11" i="59"/>
  <c r="Z11" i="59" s="1"/>
  <c r="AA10" i="59"/>
  <c r="X11" i="59"/>
  <c r="K106" i="43"/>
  <c r="H102" i="43"/>
  <c r="H63" i="43"/>
  <c r="G63" i="43" s="1"/>
  <c r="H65" i="43"/>
  <c r="G65" i="43" s="1"/>
  <c r="H60" i="43"/>
  <c r="G60" i="43" s="1"/>
  <c r="H66" i="43"/>
  <c r="G66" i="43" s="1"/>
  <c r="H64" i="43"/>
  <c r="G64" i="43" s="1"/>
  <c r="H59" i="43"/>
  <c r="G59" i="43" s="1"/>
  <c r="H67" i="43"/>
  <c r="G67" i="43" s="1"/>
  <c r="H61" i="43"/>
  <c r="G61" i="43" s="1"/>
  <c r="G15" i="47"/>
  <c r="A8" i="52"/>
  <c r="B65" i="60" s="1"/>
  <c r="E8" i="59"/>
  <c r="E7" i="59" s="1"/>
  <c r="E6" i="59" s="1"/>
  <c r="E5" i="59" s="1"/>
  <c r="U5" i="59" s="1"/>
  <c r="U9" i="59"/>
  <c r="D18" i="50"/>
  <c r="B31" i="60" s="1"/>
  <c r="A10" i="52"/>
  <c r="B66" i="60" s="1"/>
  <c r="C14" i="15"/>
  <c r="C15" i="15" s="1"/>
  <c r="D12" i="52"/>
  <c r="H70" i="43"/>
  <c r="H76" i="43"/>
  <c r="H78" i="43"/>
  <c r="H75" i="43"/>
  <c r="H73" i="43"/>
  <c r="G26" i="47"/>
  <c r="H62" i="43"/>
  <c r="G62" i="43" s="1"/>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B7" i="62"/>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125" i="57" l="1"/>
  <c r="L108" i="57"/>
  <c r="D126" i="57"/>
  <c r="D10" i="48"/>
  <c r="C3" i="4"/>
  <c r="B4" i="55" s="1"/>
  <c r="B53" i="60" s="1"/>
  <c r="M62" i="43"/>
  <c r="N62" i="43" s="1"/>
  <c r="K62" i="43"/>
  <c r="K61" i="43"/>
  <c r="M61" i="43"/>
  <c r="N61" i="43" s="1"/>
  <c r="K59" i="43"/>
  <c r="M59" i="43"/>
  <c r="N59" i="43" s="1"/>
  <c r="M66" i="43"/>
  <c r="N66" i="43" s="1"/>
  <c r="K66" i="43"/>
  <c r="J66" i="43" s="1"/>
  <c r="D66" i="43" s="1"/>
  <c r="K65" i="43"/>
  <c r="M65" i="43"/>
  <c r="N65" i="43" s="1"/>
  <c r="C32" i="59"/>
  <c r="D31" i="59"/>
  <c r="D52" i="59"/>
  <c r="C53" i="59"/>
  <c r="D60" i="59"/>
  <c r="C61" i="59"/>
  <c r="D37" i="59"/>
  <c r="M19" i="43" s="1"/>
  <c r="T37" i="59"/>
  <c r="AA9" i="36"/>
  <c r="S9" i="36"/>
  <c r="AB9" i="36"/>
  <c r="U9" i="36"/>
  <c r="S45" i="39"/>
  <c r="AA45" i="39"/>
  <c r="C12" i="59"/>
  <c r="T13" i="59"/>
  <c r="D13" i="59"/>
  <c r="C18" i="12"/>
  <c r="C21" i="12" s="1"/>
  <c r="C22" i="12" s="1"/>
  <c r="C30" i="12" s="1"/>
  <c r="C28" i="12" s="1"/>
  <c r="M67" i="43"/>
  <c r="N67" i="43" s="1"/>
  <c r="K67" i="43"/>
  <c r="M64" i="43"/>
  <c r="N64" i="43" s="1"/>
  <c r="K64" i="43"/>
  <c r="M60" i="43"/>
  <c r="N60" i="43" s="1"/>
  <c r="K60" i="43"/>
  <c r="K63" i="43"/>
  <c r="J63" i="43" s="1"/>
  <c r="M63" i="43"/>
  <c r="N63" i="43" s="1"/>
  <c r="F16" i="59"/>
  <c r="F15" i="59" s="1"/>
  <c r="F14" i="59" s="1"/>
  <c r="F13" i="59" s="1"/>
  <c r="V17" i="59"/>
  <c r="C28" i="59"/>
  <c r="D27" i="59"/>
  <c r="F63" i="59"/>
  <c r="Q64" i="59"/>
  <c r="AC9" i="36"/>
  <c r="W9" i="36"/>
  <c r="S12" i="33"/>
  <c r="AA12" i="33"/>
  <c r="S39" i="37"/>
  <c r="AA39" i="37"/>
  <c r="AA26" i="33"/>
  <c r="S26" i="33"/>
  <c r="B12" i="59"/>
  <c r="B11" i="59" s="1"/>
  <c r="B10" i="59" s="1"/>
  <c r="B9" i="59" s="1"/>
  <c r="S13" i="59"/>
  <c r="H7" i="37"/>
  <c r="AB7" i="37" s="1"/>
  <c r="T42" i="37" s="1"/>
  <c r="G42" i="37" s="1"/>
  <c r="G46" i="37" s="1"/>
  <c r="H46" i="37"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7" i="36" l="1"/>
  <c r="D60" i="43"/>
  <c r="J60" i="43"/>
  <c r="D64" i="43"/>
  <c r="J64" i="43"/>
  <c r="J67" i="43"/>
  <c r="D67" i="43"/>
  <c r="D61" i="59"/>
  <c r="T61" i="59"/>
  <c r="D53" i="59"/>
  <c r="T53" i="59"/>
  <c r="D62" i="43"/>
  <c r="J62" i="43"/>
  <c r="S9" i="59"/>
  <c r="B8" i="59"/>
  <c r="B7" i="59" s="1"/>
  <c r="B6" i="59" s="1"/>
  <c r="B5" i="59" s="1"/>
  <c r="S5" i="59" s="1"/>
  <c r="Q63" i="59"/>
  <c r="Q62" i="59"/>
  <c r="D28" i="59"/>
  <c r="C29" i="59"/>
  <c r="F12" i="59"/>
  <c r="F11" i="59" s="1"/>
  <c r="F10" i="59" s="1"/>
  <c r="F9" i="59" s="1"/>
  <c r="V13" i="59"/>
  <c r="D32" i="59"/>
  <c r="C33" i="59"/>
  <c r="J65" i="43"/>
  <c r="D65" i="43"/>
  <c r="J59" i="43"/>
  <c r="D59" i="43"/>
  <c r="E59" i="43" s="1"/>
  <c r="B57" i="43" s="1"/>
  <c r="C24" i="43" s="1"/>
  <c r="J61" i="43"/>
  <c r="D61" i="43"/>
  <c r="C19" i="15"/>
  <c r="C20" i="15" s="1"/>
  <c r="C26" i="15" s="1"/>
  <c r="H7" i="36"/>
  <c r="C20" i="43"/>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D33" i="59"/>
  <c r="T33" i="59"/>
  <c r="D29" i="59"/>
  <c r="T29" i="59"/>
  <c r="C29" i="43"/>
  <c r="V9" i="59"/>
  <c r="F8" i="59"/>
  <c r="F7" i="59" s="1"/>
  <c r="F6" i="59" s="1"/>
  <c r="F5" i="59" s="1"/>
  <c r="V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D6" i="59"/>
  <c r="C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D5" i="59"/>
  <c r="T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B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19" i="9"/>
  <c r="C19" i="57"/>
  <c r="C56" i="11" l="1"/>
  <c r="C57" i="11" s="1"/>
  <c r="B3" i="11"/>
  <c r="C103" i="57"/>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D19" i="57"/>
  <c r="D20" i="9"/>
  <c r="C20" i="57"/>
  <c r="D20" i="57"/>
  <c r="D19" i="9"/>
  <c r="C104" i="57" l="1"/>
  <c r="C102" i="9"/>
  <c r="D104" i="57"/>
  <c r="G20" i="57"/>
  <c r="D103" i="57"/>
  <c r="G19" i="57"/>
  <c r="D22" i="57"/>
  <c r="C105" i="57"/>
  <c r="D101" i="9"/>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6" i="57" l="1"/>
  <c r="R27" i="31"/>
  <c r="R28" i="31" s="1"/>
  <c r="AC7" i="40"/>
  <c r="V42" i="40" s="1"/>
  <c r="I42" i="40" s="1"/>
  <c r="I46" i="40" s="1"/>
  <c r="J46" i="40" s="1"/>
  <c r="W7" i="40"/>
  <c r="S7" i="40"/>
  <c r="AA7" i="40"/>
  <c r="R42" i="40" s="1"/>
  <c r="R43" i="40" s="1"/>
  <c r="AB7" i="40"/>
  <c r="T42" i="40" s="1"/>
  <c r="G42" i="40" s="1"/>
  <c r="G46" i="40" s="1"/>
  <c r="H46" i="40" s="1"/>
  <c r="U7" i="40"/>
  <c r="S28" i="31" l="1"/>
  <c r="T28" i="31"/>
  <c r="C33" i="57"/>
  <c r="S27" i="31"/>
  <c r="T27" i="31"/>
  <c r="D14" i="62" s="1"/>
  <c r="G14" i="62" s="1"/>
  <c r="G47" i="40"/>
  <c r="H47" i="40" s="1"/>
  <c r="E42" i="40"/>
  <c r="T25" i="31" l="1"/>
  <c r="S25" i="31"/>
  <c r="R25" i="31" s="1"/>
  <c r="I47" i="40"/>
  <c r="J47" i="40" s="1"/>
  <c r="E47" i="40"/>
  <c r="F47" i="40" s="1"/>
  <c r="E46" i="40"/>
  <c r="F46" i="40" s="1"/>
  <c r="C43" i="40"/>
  <c r="C42" i="40"/>
  <c r="B23" i="31" l="1"/>
  <c r="B24" i="31" s="1"/>
  <c r="B3" i="31" s="1"/>
  <c r="C35" i="57" s="1"/>
  <c r="I125" i="57" s="1"/>
  <c r="I4" i="52"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B2" i="31" l="1"/>
  <c r="C34" i="57" s="1"/>
  <c r="H125" i="57" s="1"/>
  <c r="H4" i="52" s="1"/>
  <c r="D111" i="57"/>
  <c r="I105" i="57"/>
  <c r="C108" i="57"/>
  <c r="C107" i="57" l="1"/>
  <c r="I104" i="57"/>
  <c r="N50" i="57" s="1"/>
  <c r="F14" i="62"/>
  <c r="D110" i="57"/>
  <c r="D121" i="57" s="1"/>
  <c r="H126" i="57"/>
  <c r="H5" i="52" s="1"/>
  <c r="D30" i="50"/>
  <c r="D9" i="50"/>
  <c r="B21" i="60" s="1"/>
  <c r="D116" i="57"/>
  <c r="D117" i="57" s="1"/>
  <c r="I121" i="9"/>
  <c r="E121" i="9"/>
  <c r="D121" i="9" s="1"/>
  <c r="D122" i="9" s="1"/>
  <c r="G121" i="9"/>
  <c r="F121" i="9" s="1"/>
  <c r="F122" i="9" s="1"/>
  <c r="D47" i="57" l="1"/>
  <c r="C80" i="57" s="1"/>
  <c r="C75" i="57" s="1"/>
  <c r="D7" i="50"/>
  <c r="B19" i="60" s="1"/>
  <c r="I112" i="57"/>
  <c r="N51" i="57" s="1"/>
  <c r="D28" i="50"/>
  <c r="D29" i="50" s="1"/>
  <c r="E14" i="62"/>
  <c r="B5" i="62"/>
  <c r="D5" i="62" s="1"/>
  <c r="D55" i="57"/>
  <c r="D50" i="57" s="1"/>
  <c r="N54" i="57" s="1"/>
  <c r="D61" i="57"/>
  <c r="N57" i="57" s="1"/>
  <c r="C87" i="57"/>
  <c r="I113" i="57"/>
  <c r="D38" i="50"/>
  <c r="B62" i="60" s="1"/>
  <c r="I117" i="57"/>
  <c r="D23" i="50" s="1"/>
  <c r="B34" i="60" s="1"/>
  <c r="D44" i="50"/>
  <c r="C104" i="9"/>
  <c r="H121" i="9"/>
  <c r="D107" i="9"/>
  <c r="I103" i="9"/>
  <c r="D15" i="50" l="1"/>
  <c r="D16" i="50" s="1"/>
  <c r="B30" i="60" s="1"/>
  <c r="C95" i="57"/>
  <c r="C88" i="57" s="1"/>
  <c r="C66" i="57"/>
  <c r="C65" i="57" s="1"/>
  <c r="C69" i="57" s="1"/>
  <c r="C70" i="57" s="1"/>
  <c r="D56" i="57" s="1"/>
  <c r="C97" i="57"/>
  <c r="D129" i="57"/>
  <c r="D8" i="52" s="1"/>
  <c r="D54" i="57"/>
  <c r="D57" i="57"/>
  <c r="N55" i="57" s="1"/>
  <c r="C74" i="57"/>
  <c r="C5" i="62"/>
  <c r="D8" i="50"/>
  <c r="B22" i="60" s="1"/>
  <c r="D36" i="50"/>
  <c r="D37" i="50" s="1"/>
  <c r="C81" i="57"/>
  <c r="C82" i="57" s="1"/>
  <c r="E82" i="57" s="1"/>
  <c r="E83" i="57" s="1"/>
  <c r="D130" i="57"/>
  <c r="D17" i="50"/>
  <c r="M69" i="57"/>
  <c r="N69" i="57" s="1"/>
  <c r="M66" i="57"/>
  <c r="N66" i="57" s="1"/>
  <c r="M70" i="57"/>
  <c r="N70" i="57" s="1"/>
  <c r="M68" i="57"/>
  <c r="N68" i="57" s="1"/>
  <c r="M65" i="57"/>
  <c r="N65" i="57" s="1"/>
  <c r="M67" i="57"/>
  <c r="N67" i="57" s="1"/>
  <c r="B29" i="60"/>
  <c r="B6" i="62"/>
  <c r="C98" i="57"/>
  <c r="E98" i="57" s="1"/>
  <c r="E99" i="57" s="1"/>
  <c r="C103" i="9"/>
  <c r="I102" i="9"/>
  <c r="D106" i="9"/>
  <c r="D112" i="9" s="1"/>
  <c r="D117" i="9" s="1"/>
  <c r="I115" i="9" s="1"/>
  <c r="H122" i="9"/>
  <c r="C99" i="57" l="1"/>
  <c r="D60" i="57" s="1"/>
  <c r="D58" i="57" s="1"/>
  <c r="N56" i="57" s="1"/>
  <c r="O59" i="57" s="1"/>
  <c r="O61" i="57" s="1"/>
  <c r="O62" i="57" s="1"/>
  <c r="C83" i="57"/>
  <c r="D10" i="52"/>
  <c r="D9" i="52"/>
  <c r="D6" i="62"/>
  <c r="C6" i="62"/>
  <c r="N71" i="57"/>
  <c r="O71" i="57" s="1"/>
  <c r="D113" i="9"/>
  <c r="I111" i="9" s="1"/>
  <c r="D126" i="9" s="1"/>
  <c r="I110" i="9"/>
  <c r="D45" i="9"/>
  <c r="N48" i="9"/>
  <c r="O63" i="57" l="1"/>
  <c r="O60" i="57"/>
  <c r="Q59" i="57"/>
  <c r="C64" i="9"/>
  <c r="C63" i="9" s="1"/>
  <c r="C67" i="9" s="1"/>
  <c r="C68" i="9" s="1"/>
  <c r="D54" i="9" s="1"/>
  <c r="C78" i="9"/>
  <c r="C73" i="9" s="1"/>
  <c r="D52" i="9"/>
  <c r="C93" i="9"/>
  <c r="C86" i="9" s="1"/>
  <c r="D53" i="9"/>
  <c r="D48" i="9" s="1"/>
  <c r="N52" i="9" s="1"/>
  <c r="O57" i="9" s="1"/>
  <c r="C72" i="9"/>
  <c r="C79" i="9" s="1"/>
  <c r="C80" i="9" s="1"/>
  <c r="E80" i="9" s="1"/>
  <c r="E81" i="9" s="1"/>
  <c r="C85" i="9"/>
  <c r="N49" i="9"/>
  <c r="D125" i="9"/>
  <c r="M64" i="9" l="1"/>
  <c r="N64" i="9" s="1"/>
  <c r="M65" i="9"/>
  <c r="N65" i="9" s="1"/>
  <c r="M68" i="9"/>
  <c r="N68" i="9" s="1"/>
  <c r="M63" i="9"/>
  <c r="N63" i="9" s="1"/>
  <c r="M66" i="9"/>
  <c r="N66" i="9" s="1"/>
  <c r="M67" i="9"/>
  <c r="N67" i="9" s="1"/>
  <c r="O59" i="9"/>
  <c r="C95" i="9"/>
  <c r="Q57" i="9"/>
  <c r="O58" i="9"/>
  <c r="C81" i="9"/>
  <c r="C96" i="9" l="1"/>
  <c r="E96" i="9" s="1"/>
  <c r="E97" i="9" s="1"/>
  <c r="N69" i="9"/>
  <c r="O69"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<sst xmlns="http://schemas.openxmlformats.org/spreadsheetml/2006/main" count="6912" uniqueCount="3022">
  <si>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</si>
  <si>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</si>
  <si>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</si>
  <si>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</si>
  <si>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</si>
  <si>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</si>
  <si>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</si>
  <si>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</si>
  <si>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</si>
  <si>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</si>
  <si>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</si>
  <si>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</si>
  <si>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</si>
  <si>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</si>
  <si>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</si>
  <si>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</si>
  <si>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</si>
  <si>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</si>
  <si>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</si>
  <si>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</si>
  <si>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</si>
  <si>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</si>
  <si>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</si>
  <si>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</si>
  <si>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</si>
  <si>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</si>
  <si>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</si>
  <si>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</si>
  <si>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</si>
  <si>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</si>
  <si>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</si>
  <si>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</si>
  <si>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</si>
  <si>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</si>
  <si>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</si>
  <si>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</si>
  <si>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</si>
  <si>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</si>
  <si>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</si>
  <si>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</si>
  <si>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</si>
  <si>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</si>
  <si>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</si>
  <si>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</si>
  <si>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</si>
  <si>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</si>
  <si>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</si>
  <si>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</si>
  <si>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</si>
  <si>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</si>
  <si>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</si>
  <si>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</si>
  <si>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</si>
  <si>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</si>
  <si>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</si>
  <si>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</si>
  <si>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</si>
  <si>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</si>
  <si>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</si>
  <si>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</si>
  <si>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</si>
  <si>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</si>
  <si>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</si>
  <si>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</si>
  <si>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</si>
  <si>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</si>
  <si>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</si>
  <si>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</si>
  <si>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</si>
  <si>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</si>
  <si>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</si>
  <si>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</si>
  <si>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</si>
  <si>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</si>
  <si>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</si>
  <si>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</si>
  <si>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</si>
  <si>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</si>
  <si>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</si>
  <si>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</si>
  <si>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</si>
  <si>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</si>
  <si>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</si>
  <si>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</si>
  <si>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</si>
  <si>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</si>
  <si>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</si>
  <si>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</si>
  <si>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</si>
  <si>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</si>
  <si>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</si>
  <si>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</si>
  <si>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</si>
  <si>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</si>
  <si>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</si>
  <si>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</si>
  <si>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</si>
  <si>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</si>
  <si>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</si>
  <si>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</si>
  <si>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</si>
  <si>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</si>
  <si>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</si>
  <si>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</si>
  <si>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</si>
  <si>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</si>
  <si>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</si>
  <si>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</si>
  <si>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</si>
  <si>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</si>
  <si>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</si>
  <si>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</si>
  <si>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</si>
  <si>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</si>
  <si>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</si>
  <si>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</si>
  <si>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</si>
  <si>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</si>
  <si>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</si>
  <si>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</si>
  <si>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</si>
  <si>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</si>
  <si>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</si>
  <si>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</si>
  <si>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</si>
  <si>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</si>
  <si>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</si>
  <si>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</si>
  <si>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</si>
  <si>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</si>
  <si>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</si>
  <si>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</si>
  <si>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</si>
  <si>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</si>
  <si>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</si>
  <si>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</si>
  <si>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</si>
  <si>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</si>
  <si>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</si>
  <si>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</si>
  <si>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</si>
  <si>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</si>
  <si>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</si>
  <si>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</si>
  <si>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</si>
  <si>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</si>
  <si>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</si>
  <si>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</si>
  <si>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</si>
  <si>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</si>
  <si>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</si>
  <si>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</si>
  <si>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</si>
  <si>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</si>
  <si>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</si>
  <si>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</si>
  <si>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</si>
  <si>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</si>
  <si>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</si>
  <si>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</si>
  <si>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</si>
  <si>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</si>
  <si>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</si>
  <si>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</si>
  <si>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</si>
  <si>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</si>
  <si>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</si>
  <si>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</si>
  <si>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</si>
  <si>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</si>
  <si>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</si>
  <si>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</si>
  <si>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</si>
  <si>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</si>
  <si>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</si>
  <si>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</si>
  <si>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</si>
  <si>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</si>
  <si>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</si>
  <si>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</si>
  <si>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</si>
  <si>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</si>
  <si>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</si>
  <si>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</si>
  <si>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</si>
  <si>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</si>
  <si>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</si>
  <si>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</si>
  <si>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</si>
  <si>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</si>
  <si>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</si>
  <si>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</si>
  <si>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</si>
  <si>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</si>
  <si>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</si>
  <si>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</si>
  <si>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</si>
  <si>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</si>
  <si>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</si>
  <si>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</si>
  <si>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</si>
  <si>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</si>
  <si>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</si>
  <si>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</si>
  <si>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</si>
  <si>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</si>
  <si>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</si>
  <si>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</si>
  <si>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</si>
  <si>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</si>
  <si>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</si>
  <si>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</si>
  <si>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</si>
  <si>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</si>
  <si>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</si>
  <si>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</si>
  <si>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</si>
  <si>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</si>
  <si>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</si>
  <si>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</si>
  <si>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</si>
  <si>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</si>
  <si>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</si>
  <si>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</si>
  <si>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</si>
  <si>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</si>
  <si>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</si>
  <si>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</si>
  <si>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</si>
  <si>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</si>
  <si>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</si>
  <si>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</si>
  <si>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</si>
  <si>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</si>
  <si>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</si>
  <si>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</si>
  <si>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</si>
  <si>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</si>
  <si>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</si>
  <si>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</si>
  <si>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</si>
  <si>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</si>
  <si>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</si>
  <si>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</si>
  <si>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</si>
  <si>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</si>
  <si>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</si>
  <si>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</si>
  <si>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</si>
  <si>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</si>
  <si>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</si>
  <si>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</si>
  <si>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</si>
  <si>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</si>
  <si>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</si>
  <si>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</si>
  <si>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</si>
  <si>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</si>
  <si>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</si>
  <si>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</si>
  <si>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</si>
  <si>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</si>
  <si>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</si>
  <si>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</si>
  <si>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</si>
  <si>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</si>
  <si>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</si>
  <si>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</si>
  <si>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</si>
  <si>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</si>
  <si>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</si>
  <si>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</si>
  <si>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</si>
  <si>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</si>
  <si>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</si>
  <si>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</si>
  <si>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</si>
  <si>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</si>
  <si>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</si>
  <si>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</si>
  <si>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</si>
  <si>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</si>
  <si>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</si>
  <si>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</si>
  <si>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</si>
  <si>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</si>
  <si>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</si>
  <si>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</si>
  <si>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</si>
  <si>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</si>
  <si>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</si>
  <si>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</si>
  <si>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</si>
  <si>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</si>
  <si>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</si>
  <si>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</si>
  <si>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</si>
  <si>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</si>
  <si>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</si>
  <si>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</si>
  <si>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</si>
  <si>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</si>
  <si>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</si>
  <si>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</si>
  <si>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</si>
  <si>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</si>
  <si>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</si>
  <si>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</si>
  <si>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</si>
  <si>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</si>
  <si>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</si>
  <si>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</si>
  <si>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</si>
  <si>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</si>
  <si>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</si>
  <si>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</si>
  <si>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</si>
  <si>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</si>
  <si>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</si>
  <si>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</si>
  <si>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</si>
  <si>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</si>
  <si>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</si>
  <si>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</si>
  <si>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</si>
  <si>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</si>
  <si>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</si>
  <si>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</si>
  <si>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</si>
  <si>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</si>
  <si>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</si>
  <si>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</si>
  <si>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</si>
  <si>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</si>
  <si>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</si>
  <si>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</si>
  <si>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</si>
  <si>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</si>
  <si>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</si>
  <si>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</si>
  <si>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</si>
  <si>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</si>
  <si>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</si>
  <si>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</si>
  <si>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</si>
  <si>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</si>
  <si>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</si>
  <si>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</si>
  <si>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</si>
  <si>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</si>
  <si>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</si>
  <si>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</si>
  <si>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</si>
  <si>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</si>
  <si>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</si>
  <si>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</si>
  <si>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</si>
  <si>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</si>
  <si>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</si>
  <si>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</si>
  <si>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</si>
  <si>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</si>
  <si>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</si>
  <si>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</si>
  <si>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</si>
  <si>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</si>
  <si>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</si>
  <si>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</si>
  <si>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</si>
  <si>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</si>
  <si>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</si>
  <si>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</si>
  <si>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</si>
  <si>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</si>
  <si>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</si>
  <si>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</si>
  <si>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</si>
  <si>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</si>
  <si>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</si>
  <si>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</si>
  <si>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</si>
  <si>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</si>
  <si>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</si>
  <si>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</si>
  <si>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</si>
  <si>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</si>
  <si>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</si>
  <si>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</si>
  <si>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</si>
  <si>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</si>
  <si>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</si>
  <si>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</si>
  <si>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</si>
  <si>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</si>
  <si>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</si>
  <si>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</si>
  <si>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</si>
  <si>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</si>
  <si>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</si>
  <si>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</si>
  <si>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</si>
  <si>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</si>
  <si>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</si>
  <si>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</si>
  <si>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</si>
  <si>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</si>
  <si>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</si>
  <si>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</si>
  <si>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</si>
  <si>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</si>
  <si>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</si>
  <si>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</si>
  <si>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</si>
  <si>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</si>
  <si>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</si>
  <si>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</si>
  <si>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</si>
  <si>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</si>
  <si>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</si>
  <si>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</si>
  <si>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</si>
  <si>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</si>
  <si>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</si>
  <si>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</si>
  <si>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</si>
  <si>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</si>
  <si>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</si>
  <si>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</si>
  <si>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</si>
  <si>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</si>
  <si>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</si>
  <si>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</si>
  <si>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</si>
  <si>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</si>
  <si>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</si>
  <si>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</si>
  <si>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</si>
  <si>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</si>
  <si>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</si>
  <si>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</si>
  <si>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</si>
  <si>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</si>
  <si>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</si>
  <si>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</si>
  <si>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</si>
  <si>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</si>
  <si>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</si>
  <si>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</si>
  <si>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</si>
  <si>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</si>
  <si>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</si>
  <si>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</si>
  <si>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</si>
  <si>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</si>
  <si>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</si>
  <si>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</si>
  <si>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</si>
  <si>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</si>
  <si>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</si>
  <si>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</si>
  <si>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</si>
  <si>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</si>
  <si>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</si>
  <si>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</si>
  <si>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</si>
  <si>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</si>
  <si>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</si>
  <si>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</si>
  <si>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</si>
  <si>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</si>
  <si>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</si>
  <si>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</si>
  <si>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</si>
  <si>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</si>
  <si>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</si>
  <si>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</si>
  <si>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</si>
  <si>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</si>
  <si>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</si>
  <si>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</si>
  <si>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</si>
  <si>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</si>
  <si>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</si>
  <si>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</si>
  <si>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</si>
  <si>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</si>
  <si>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</si>
  <si>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</si>
  <si>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</si>
  <si>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</si>
  <si>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</si>
  <si>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</si>
  <si>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</si>
  <si>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</si>
  <si>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</si>
  <si>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</si>
  <si>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</si>
  <si>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</si>
  <si>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</si>
  <si>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</si>
  <si>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</si>
  <si>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</si>
  <si>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</si>
  <si>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</si>
  <si>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</si>
  <si>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</si>
  <si>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</si>
  <si>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</si>
  <si>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</si>
  <si>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</si>
  <si>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</si>
  <si>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</si>
  <si>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</si>
  <si>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</si>
  <si>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</si>
  <si>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</si>
  <si>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</si>
  <si>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</si>
  <si>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</si>
  <si>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</si>
  <si>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</si>
  <si>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</si>
  <si>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</si>
  <si>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</si>
  <si>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</si>
  <si>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</si>
  <si>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</si>
  <si>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</si>
  <si>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</si>
  <si>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</si>
  <si>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</si>
  <si>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</si>
  <si>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</si>
  <si>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</si>
  <si>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</si>
  <si>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</si>
  <si>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</si>
  <si>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</si>
  <si>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</si>
  <si>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</si>
  <si>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</si>
  <si>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</si>
  <si>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</si>
  <si>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</si>
  <si>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</si>
  <si>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</si>
  <si>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</si>
  <si>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</si>
  <si>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</si>
  <si>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</si>
  <si>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</si>
  <si>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</si>
  <si>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</si>
  <si>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</si>
  <si>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</si>
  <si>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</si>
  <si>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</si>
  <si>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</si>
  <si>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</si>
  <si>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</si>
  <si>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</si>
  <si>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</si>
  <si>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</si>
  <si>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</si>
  <si>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</si>
  <si>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</si>
  <si>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</si>
  <si>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</si>
  <si>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</si>
  <si>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</si>
  <si>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</si>
  <si>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</si>
  <si>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</si>
  <si>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</si>
  <si>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</si>
  <si>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</si>
  <si>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</si>
  <si>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</si>
  <si>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</si>
  <si>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</si>
  <si>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</si>
  <si>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</si>
  <si>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</si>
  <si>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</si>
  <si>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</si>
  <si>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</si>
  <si>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</si>
  <si>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</si>
  <si>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</si>
  <si>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</si>
  <si>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</si>
  <si>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</si>
  <si>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</si>
  <si>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</si>
  <si>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</si>
  <si>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</si>
  <si>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</si>
  <si>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</si>
  <si>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</si>
  <si>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</si>
  <si>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</si>
  <si>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</si>
  <si>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</si>
  <si>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</si>
  <si>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</si>
  <si>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</si>
  <si>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</si>
  <si>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</si>
  <si>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</si>
  <si>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</si>
  <si>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</si>
  <si>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</si>
  <si>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</si>
  <si>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</si>
  <si>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</si>
  <si>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</si>
  <si>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</si>
  <si>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</si>
  <si>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</si>
  <si>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</si>
  <si>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</si>
  <si>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</si>
  <si>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</si>
  <si>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</si>
  <si>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</si>
  <si>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</si>
  <si>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</si>
  <si>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</si>
  <si>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</si>
  <si>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</si>
  <si>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</si>
  <si>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</si>
  <si>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</si>
  <si>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</si>
  <si>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</si>
  <si>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</si>
  <si>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</si>
  <si>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</si>
  <si>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</si>
  <si>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</si>
  <si>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</si>
  <si>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</si>
  <si>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</si>
  <si>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</si>
  <si>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</si>
  <si>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</si>
  <si>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</si>
  <si>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</si>
  <si>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</si>
  <si>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</si>
  <si>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</si>
  <si>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</si>
  <si>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</si>
  <si>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</si>
  <si>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</si>
  <si>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</si>
  <si>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</si>
  <si>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</si>
  <si>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</si>
  <si>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</si>
  <si>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</si>
  <si>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</si>
  <si>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</si>
  <si>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</si>
  <si>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</si>
  <si>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</si>
  <si>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</si>
  <si>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</si>
  <si>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</si>
  <si>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</si>
  <si>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</si>
  <si>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</si>
  <si>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</si>
  <si>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</si>
  <si>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</si>
  <si>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</si>
  <si>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</si>
  <si>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</si>
  <si>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</si>
  <si>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</si>
  <si>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</si>
  <si>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</si>
  <si>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</si>
  <si>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</si>
  <si>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</si>
  <si>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</si>
  <si>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</si>
  <si>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</si>
  <si>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</si>
  <si>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</si>
  <si>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</si>
  <si>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</si>
  <si>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</si>
  <si>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</si>
  <si>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</si>
  <si>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</si>
  <si>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</si>
  <si>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</si>
  <si>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</si>
  <si>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</si>
  <si>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</si>
  <si>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</si>
  <si>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</si>
  <si>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</si>
  <si>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</si>
  <si>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</si>
  <si>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</si>
  <si>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</si>
  <si>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</si>
  <si>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</si>
  <si>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</si>
  <si>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</si>
  <si>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</si>
  <si>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</si>
  <si>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</si>
  <si>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</si>
  <si>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</si>
  <si>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</si>
  <si>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</si>
  <si>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</si>
  <si>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</si>
  <si>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</si>
  <si>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</si>
  <si>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</si>
  <si>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</si>
  <si>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</si>
  <si>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</si>
  <si>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</si>
  <si>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</si>
  <si>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</si>
  <si>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</si>
  <si>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</si>
  <si>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</si>
  <si>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</si>
  <si>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</si>
  <si>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</si>
  <si>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</si>
  <si>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</si>
  <si>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</si>
  <si>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</si>
  <si>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</si>
  <si>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</si>
  <si>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</si>
  <si>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</si>
  <si>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</si>
  <si>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</si>
  <si>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</si>
  <si>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</si>
  <si>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</si>
  <si>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</si>
  <si>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</si>
  <si>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</si>
  <si>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</si>
  <si>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</si>
  <si>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</si>
  <si>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</si>
  <si>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</si>
  <si>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</si>
  <si>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</si>
  <si>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</si>
  <si>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</si>
  <si>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</si>
  <si>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</si>
  <si>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</si>
  <si>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</si>
  <si>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</si>
  <si>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</si>
  <si>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</si>
  <si>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</si>
  <si>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</si>
  <si>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</si>
  <si>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</si>
  <si>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</si>
  <si>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</si>
  <si>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</si>
  <si>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</si>
  <si>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</si>
  <si>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</si>
  <si>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</si>
  <si>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</si>
  <si>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</si>
  <si>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</si>
  <si>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</si>
  <si>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</si>
  <si>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</si>
  <si>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</si>
  <si>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</si>
  <si>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</si>
  <si>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</si>
  <si>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</si>
  <si>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</si>
  <si>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</si>
  <si>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</si>
  <si>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</si>
  <si>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</si>
  <si>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</si>
  <si>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</si>
  <si>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</si>
  <si>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</si>
  <si>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</si>
  <si>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</si>
  <si>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</si>
  <si>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</si>
  <si>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</si>
  <si>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</si>
  <si>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</si>
  <si>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</si>
  <si>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</si>
  <si>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</si>
  <si>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</si>
  <si>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</si>
  <si>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</si>
  <si>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</si>
  <si>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</si>
  <si>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</si>
  <si>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</si>
  <si>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</si>
  <si>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</si>
  <si>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</si>
  <si>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</si>
  <si>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</si>
  <si>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</si>
  <si>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</si>
  <si>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</si>
  <si>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</si>
  <si>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</si>
  <si>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</si>
  <si>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</si>
  <si>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</si>
  <si>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</si>
  <si>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</si>
  <si>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</si>
  <si>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</si>
  <si>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</si>
  <si>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</si>
  <si>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</si>
  <si>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</si>
  <si>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</si>
  <si>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</si>
  <si>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</si>
  <si>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</si>
  <si>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</si>
  <si>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</si>
  <si>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</si>
  <si>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</si>
  <si>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</si>
  <si>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</si>
  <si>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</si>
  <si>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</si>
  <si>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</si>
  <si>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</si>
  <si>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</si>
  <si>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</si>
  <si>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</si>
  <si>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</si>
  <si>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</si>
  <si>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</si>
  <si>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</si>
  <si>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</si>
  <si>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</si>
  <si>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</si>
  <si>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</si>
  <si>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</si>
  <si>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</si>
  <si>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</si>
  <si>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</si>
  <si>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</si>
  <si>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</si>
  <si>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</si>
  <si>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</si>
  <si>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</si>
  <si>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</si>
  <si>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</si>
  <si>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</si>
  <si>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</si>
  <si>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</si>
  <si>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</si>
  <si>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</si>
  <si>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</si>
  <si>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</si>
  <si>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</si>
  <si>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</si>
  <si>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</si>
  <si>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</si>
  <si>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</si>
  <si>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</si>
  <si>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</si>
  <si>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</si>
  <si>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</si>
  <si>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</si>
  <si>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</si>
  <si>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</si>
  <si>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</si>
  <si>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</si>
  <si>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</si>
  <si>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</si>
  <si>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</si>
  <si>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</si>
  <si>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</si>
  <si>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</si>
  <si>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</si>
  <si>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</si>
  <si>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</si>
  <si>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</si>
  <si>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</si>
  <si>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</si>
  <si>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</si>
  <si>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</si>
  <si>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</si>
  <si>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</si>
  <si>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</si>
  <si>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</si>
  <si>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</si>
  <si>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</si>
  <si>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</si>
  <si>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</si>
  <si>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</si>
  <si>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</si>
  <si>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</si>
  <si>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</si>
  <si>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</si>
  <si>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</si>
  <si>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</si>
  <si>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</si>
  <si>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</si>
  <si>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</si>
  <si>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</si>
  <si>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</si>
  <si>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</si>
  <si>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</si>
  <si>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</si>
  <si>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</si>
  <si>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</si>
  <si>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</si>
  <si>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</si>
  <si>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</si>
  <si>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</si>
  <si>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</si>
  <si>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</si>
  <si>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</si>
  <si>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</si>
  <si>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</si>
  <si>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</si>
  <si>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</si>
  <si>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</si>
  <si>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</si>
  <si>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</si>
  <si>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</si>
  <si>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</si>
  <si>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</si>
  <si>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</si>
  <si>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</si>
  <si>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</si>
  <si>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</si>
  <si>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</si>
  <si>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</si>
  <si>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</si>
  <si>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</si>
  <si>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</si>
  <si>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</si>
  <si>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</si>
  <si>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</si>
  <si>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</si>
  <si>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</si>
  <si>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</si>
  <si>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</si>
  <si>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</si>
  <si>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</si>
  <si>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</si>
  <si>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</si>
  <si>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</si>
  <si>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</si>
  <si>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</si>
  <si>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</si>
  <si>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</si>
  <si>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</si>
  <si>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</si>
  <si>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</si>
  <si>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</si>
  <si>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</si>
  <si>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</si>
  <si>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</si>
  <si>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</si>
  <si>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</si>
  <si>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</si>
  <si>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</si>
  <si>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</si>
  <si>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</si>
  <si>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</si>
  <si>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</si>
  <si>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</si>
  <si>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</si>
  <si>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</si>
  <si>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</si>
  <si>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</si>
  <si>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</si>
  <si>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</si>
  <si>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</si>
  <si>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</si>
  <si>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</si>
  <si>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</si>
  <si>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</si>
  <si>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</si>
  <si>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</si>
  <si>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</si>
  <si>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</si>
  <si>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</si>
  <si>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</si>
  <si>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</si>
  <si>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</si>
  <si>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</si>
  <si>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</si>
  <si>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</si>
  <si>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</si>
  <si>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</si>
  <si>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</si>
  <si>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</si>
  <si>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</si>
  <si>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</si>
  <si>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</si>
  <si>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</si>
  <si>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</si>
  <si>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</si>
  <si>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</si>
  <si>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</si>
  <si>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</si>
  <si>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</si>
  <si>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</si>
  <si>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</si>
  <si>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</si>
  <si>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</si>
  <si>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</si>
  <si>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</si>
  <si>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</si>
  <si>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</si>
  <si>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</si>
  <si>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</si>
  <si>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</si>
  <si>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</si>
  <si>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</si>
  <si>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</si>
  <si>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</si>
  <si>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</si>
  <si>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</si>
  <si>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</si>
  <si>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</si>
  <si>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</si>
  <si>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</si>
  <si>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</si>
  <si>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</si>
  <si>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</si>
  <si>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</si>
  <si>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</si>
  <si>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</si>
  <si>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</si>
  <si>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</si>
  <si>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</si>
  <si>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</si>
  <si>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</si>
  <si>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</si>
  <si>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</si>
  <si>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</si>
  <si>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</si>
  <si>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</si>
  <si>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</si>
  <si>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</si>
  <si>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</si>
  <si>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</si>
  <si>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</si>
  <si>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</si>
  <si>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</si>
  <si>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</si>
  <si>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</si>
  <si>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</si>
  <si>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</si>
  <si>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</si>
  <si>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</si>
  <si>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</si>
  <si>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</si>
  <si>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</si>
  <si>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</si>
  <si>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</si>
  <si>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</si>
  <si>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</si>
  <si>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</si>
  <si>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</si>
  <si>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</si>
  <si>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</si>
  <si>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</si>
  <si>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</si>
  <si>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</si>
  <si>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</si>
  <si>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</si>
  <si>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</si>
  <si>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</si>
  <si>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</si>
  <si>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</si>
  <si>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</si>
  <si>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</si>
  <si>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</si>
  <si>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</si>
  <si>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</si>
  <si>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</si>
  <si>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</si>
  <si>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</si>
  <si>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</si>
  <si>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</si>
  <si>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</si>
  <si>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</si>
  <si>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</si>
  <si>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</si>
  <si>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</si>
  <si>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</si>
  <si>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</si>
  <si>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</si>
  <si>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</si>
  <si>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</si>
  <si>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</si>
  <si>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</si>
  <si>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</si>
  <si>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</si>
  <si>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</si>
  <si>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</si>
  <si>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</si>
  <si>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</si>
  <si>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</si>
  <si>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</si>
  <si>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</si>
  <si>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</si>
  <si>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</si>
  <si>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</si>
  <si>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</si>
  <si>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</si>
  <si>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</si>
  <si>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</si>
  <si>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</si>
  <si>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</si>
  <si>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</si>
  <si>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</si>
  <si>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</si>
  <si>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</si>
  <si>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</si>
  <si>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</si>
  <si>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</si>
  <si>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</si>
  <si>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</si>
  <si>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</si>
  <si>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</si>
  <si>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</si>
  <si>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</si>
  <si>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</si>
  <si>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</si>
  <si>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</si>
  <si>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</si>
  <si>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</si>
  <si>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</si>
  <si>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</si>
  <si>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</si>
  <si>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</si>
  <si>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</si>
  <si>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</si>
  <si>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</si>
  <si>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</si>
  <si>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</si>
  <si>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</si>
  <si>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</si>
  <si>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</si>
  <si>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</si>
  <si>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</si>
  <si>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</si>
  <si>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</si>
  <si>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</si>
  <si>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</si>
  <si>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</si>
  <si>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</si>
  <si>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</si>
  <si>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</si>
  <si>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</si>
  <si>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</si>
  <si>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</si>
  <si>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</si>
  <si>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</si>
  <si>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</si>
  <si>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</si>
  <si>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</si>
  <si>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</si>
  <si>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</si>
  <si>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</si>
  <si>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</si>
  <si>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</si>
  <si>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</si>
  <si>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</si>
  <si>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</si>
  <si>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</si>
  <si>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</si>
  <si>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</si>
  <si>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</si>
  <si>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</si>
  <si>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</si>
  <si>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</si>
  <si>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</si>
  <si>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</si>
  <si>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</si>
  <si>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</si>
  <si>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</si>
  <si>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</si>
  <si>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</si>
  <si>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</si>
  <si>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</si>
  <si>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</si>
  <si>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</si>
  <si>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</si>
  <si>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</si>
  <si>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</si>
  <si>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</si>
  <si>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</si>
  <si>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</si>
  <si>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</si>
  <si>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</si>
  <si>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</si>
  <si>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</si>
  <si>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</si>
  <si>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</si>
  <si>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</si>
  <si>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</si>
  <si>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</si>
  <si>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</si>
  <si>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</si>
  <si>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</si>
  <si>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</si>
  <si>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</si>
  <si>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</si>
  <si>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</si>
  <si>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</si>
  <si>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</si>
  <si>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</si>
  <si>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</si>
  <si>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</si>
  <si>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</si>
  <si>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</si>
  <si>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</si>
  <si>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</si>
  <si>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</si>
  <si>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</si>
  <si>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</si>
  <si>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</si>
  <si>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</si>
  <si>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</si>
  <si>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</si>
  <si>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</si>
  <si>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</si>
  <si>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</si>
  <si>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</si>
  <si>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</si>
  <si>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</si>
  <si>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</si>
  <si>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</si>
  <si>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</si>
  <si>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</si>
  <si>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</si>
  <si>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</si>
  <si>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</si>
  <si>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</si>
  <si>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</si>
  <si>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</si>
  <si>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</si>
  <si>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</si>
  <si>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</si>
  <si>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</si>
  <si>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</si>
  <si>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</si>
  <si>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</si>
  <si>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</si>
  <si>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</si>
  <si>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</si>
  <si>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</si>
  <si>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</si>
  <si>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</si>
  <si>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</si>
  <si>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</si>
  <si>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</si>
  <si>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</si>
  <si>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</si>
  <si>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</si>
  <si>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</si>
  <si>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</si>
  <si>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</si>
  <si>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</si>
  <si>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</si>
  <si>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</si>
  <si>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</si>
  <si>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</si>
  <si>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</si>
  <si>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</si>
  <si>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</si>
  <si>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</si>
  <si>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</si>
  <si>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</si>
  <si>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</si>
  <si>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</si>
  <si>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</si>
  <si>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</si>
  <si>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</si>
  <si>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</si>
  <si>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</si>
  <si>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</si>
  <si>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</si>
  <si>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</si>
  <si>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</si>
  <si>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</si>
  <si>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</si>
  <si>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</si>
  <si>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</si>
  <si>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</si>
  <si>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</si>
  <si>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</si>
  <si>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</si>
  <si>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</si>
  <si>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</si>
  <si>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</si>
  <si>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</si>
  <si>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</si>
  <si>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</si>
  <si>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</si>
  <si>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</si>
  <si>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</si>
  <si>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</si>
  <si>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</si>
  <si>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</si>
  <si>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</si>
  <si>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</si>
  <si>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</si>
  <si>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</si>
  <si>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</si>
  <si>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</si>
  <si>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</si>
  <si>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</si>
  <si>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</si>
  <si>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</si>
  <si>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</si>
  <si>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</si>
  <si>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</si>
  <si>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</si>
  <si>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</si>
  <si>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</si>
  <si>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</si>
  <si>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</si>
  <si>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</si>
  <si>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</si>
  <si>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</si>
  <si>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</si>
  <si>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</si>
  <si>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</si>
  <si>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</si>
  <si>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</si>
  <si>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</si>
  <si>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</si>
  <si>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</si>
  <si>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</si>
  <si>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</si>
  <si>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</si>
  <si>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</si>
  <si>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</si>
  <si>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</si>
  <si>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</si>
  <si>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</si>
  <si>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</si>
  <si>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</si>
  <si>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</si>
  <si>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</si>
  <si>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</si>
  <si>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</si>
  <si>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</si>
  <si>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</si>
  <si>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</si>
  <si>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</si>
  <si>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</si>
  <si>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</si>
  <si>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</si>
  <si>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</si>
  <si>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</si>
  <si>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</si>
  <si>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</si>
  <si>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</si>
  <si>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</si>
  <si>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</si>
  <si>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</si>
  <si>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</si>
  <si>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</si>
  <si>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</si>
  <si>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</si>
  <si>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</si>
  <si>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</si>
  <si>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</si>
  <si>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</si>
  <si>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</si>
  <si>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</si>
  <si>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</si>
  <si>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</si>
  <si>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</si>
  <si>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</si>
  <si>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</si>
  <si>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</si>
  <si>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</si>
  <si>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</si>
  <si>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</si>
  <si>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</si>
  <si>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</si>
  <si>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</si>
  <si>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</si>
  <si>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</si>
  <si>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</si>
  <si>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</si>
  <si>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</si>
  <si>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</si>
  <si>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</si>
  <si>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</si>
  <si>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</si>
  <si>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</si>
  <si>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</si>
  <si>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</si>
  <si>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</si>
  <si>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</si>
  <si>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</si>
  <si>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</si>
  <si>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</si>
  <si>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</si>
  <si>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</si>
  <si>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</si>
  <si>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</si>
  <si>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</si>
  <si>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</si>
  <si>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</si>
  <si>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</si>
  <si>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</si>
  <si>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</si>
  <si>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</si>
  <si>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</si>
  <si>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</si>
  <si>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</si>
  <si>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</si>
  <si>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</si>
  <si>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</si>
  <si>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</si>
  <si>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</si>
  <si>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</si>
  <si>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</si>
  <si>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</si>
  <si>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</si>
  <si>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</si>
  <si>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</si>
  <si>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</si>
  <si>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</si>
  <si>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</si>
  <si>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</si>
  <si>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</si>
  <si>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</si>
  <si>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</si>
  <si>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</si>
  <si>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</si>
  <si>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</si>
  <si>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</si>
  <si>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</si>
  <si>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</si>
  <si>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</si>
  <si>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</si>
  <si>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</si>
  <si>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</si>
  <si>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</si>
  <si>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</si>
  <si>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</si>
  <si>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</si>
  <si>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</si>
  <si>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</si>
  <si>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</si>
  <si>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</si>
  <si>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</si>
  <si>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</si>
  <si>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</si>
  <si>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</si>
  <si>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</si>
  <si>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</si>
  <si>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</si>
  <si>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</si>
  <si>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</si>
  <si>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</si>
  <si>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</si>
  <si>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</si>
  <si>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</si>
  <si>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</si>
  <si>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</si>
  <si>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</si>
  <si>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</si>
  <si>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</si>
  <si>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</si>
  <si>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</si>
  <si>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</si>
  <si>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</si>
  <si>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</si>
  <si>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</si>
  <si>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</si>
  <si>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</si>
  <si>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</si>
  <si>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</si>
  <si>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</si>
  <si>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</si>
  <si>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</si>
  <si>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</si>
  <si>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</si>
  <si>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</si>
  <si>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</si>
  <si>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</si>
  <si>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</si>
  <si>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</si>
  <si>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</si>
  <si>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</si>
  <si>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</si>
  <si>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</si>
  <si>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</si>
  <si>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</si>
  <si>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</si>
  <si>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</si>
  <si>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</si>
  <si>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</si>
  <si>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</si>
  <si>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</si>
  <si>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</si>
  <si>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</si>
  <si>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</si>
  <si>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</si>
  <si>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</si>
  <si>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</si>
  <si>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</si>
  <si>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</si>
  <si>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</si>
  <si>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</si>
  <si>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</si>
  <si>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</si>
  <si>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</si>
  <si>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</si>
  <si>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</si>
  <si>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</si>
  <si>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</si>
  <si>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</si>
  <si>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</si>
  <si>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</si>
  <si>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</si>
  <si>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</si>
  <si>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</si>
  <si>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</si>
  <si>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</si>
  <si>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</si>
  <si>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</si>
  <si>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</si>
  <si>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</si>
  <si>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</si>
  <si>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</si>
  <si>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</si>
  <si>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</si>
  <si>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</si>
  <si>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</si>
  <si>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</si>
  <si>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</si>
  <si>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</si>
  <si>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</si>
  <si>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</si>
  <si>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</si>
  <si>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</si>
  <si>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</si>
  <si>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</si>
  <si>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</si>
  <si>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</si>
  <si>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</si>
  <si>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</si>
  <si>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</si>
  <si>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</si>
  <si>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</si>
  <si>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</si>
  <si>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</si>
  <si>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</si>
  <si>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</si>
  <si>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</si>
  <si>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</si>
  <si>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</si>
  <si>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</si>
  <si>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</si>
  <si>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</si>
  <si>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</si>
  <si>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</si>
  <si>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</si>
  <si>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</si>
  <si>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</si>
  <si>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</si>
  <si>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</si>
  <si>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</si>
  <si>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</si>
  <si>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</si>
  <si>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</si>
  <si>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</si>
  <si>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</si>
  <si>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</si>
  <si>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</si>
  <si>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</si>
  <si>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</si>
  <si>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</si>
  <si>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</si>
  <si>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</si>
  <si>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</si>
  <si>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</si>
  <si>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</si>
  <si>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</si>
  <si>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</si>
  <si>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</si>
  <si>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</si>
  <si>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</si>
  <si>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</si>
  <si>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</si>
  <si>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</si>
  <si>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</si>
  <si>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</si>
  <si>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</si>
  <si>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</si>
  <si>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</si>
  <si>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</si>
  <si>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</si>
  <si>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</si>
  <si>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</si>
  <si>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</si>
  <si>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</si>
  <si>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</si>
  <si>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</si>
  <si>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</si>
  <si>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</si>
  <si>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</si>
  <si>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</si>
  <si>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</si>
  <si>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</si>
  <si>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</si>
  <si>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</si>
  <si>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</si>
  <si>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</si>
  <si>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</si>
  <si>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</si>
  <si>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</si>
  <si>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</si>
  <si>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</si>
  <si>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</si>
  <si>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</si>
  <si>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</si>
  <si>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</si>
  <si>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</si>
  <si>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</si>
  <si>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</si>
  <si>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</si>
  <si>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</si>
  <si>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</si>
  <si>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</si>
  <si>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</si>
  <si>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</si>
  <si>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</si>
  <si>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</si>
  <si>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</si>
  <si>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</si>
  <si>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</si>
  <si>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</si>
  <si>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</si>
  <si>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</si>
  <si>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</si>
  <si>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</si>
  <si>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</si>
  <si>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</si>
  <si>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</si>
  <si>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</si>
  <si>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</si>
  <si>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</si>
  <si>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</si>
  <si>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</si>
  <si>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</si>
  <si>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</si>
  <si>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</si>
  <si>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</si>
  <si>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</si>
  <si>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</si>
  <si>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</si>
  <si>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</si>
  <si>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</si>
  <si>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</si>
  <si>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</si>
  <si>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</si>
  <si>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</si>
  <si>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</si>
  <si>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</si>
  <si>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</si>
  <si>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</si>
  <si>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</si>
  <si>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</si>
  <si>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</si>
  <si>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</si>
  <si>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</si>
  <si>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</si>
  <si>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</si>
  <si>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</si>
  <si>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</si>
  <si>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</si>
  <si>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</si>
  <si>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</si>
  <si>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</si>
  <si>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</si>
  <si>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</si>
  <si>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</si>
  <si>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</si>
  <si>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</si>
  <si>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</si>
  <si>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</si>
  <si>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</si>
  <si>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</si>
  <si>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</si>
  <si>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</si>
  <si>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</si>
  <si>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</si>
  <si>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</si>
  <si>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</si>
  <si>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</si>
  <si>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</si>
  <si>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</si>
  <si>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</si>
  <si>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</si>
  <si>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</si>
  <si>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</si>
  <si>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</si>
  <si>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</si>
  <si>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</si>
  <si>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</si>
  <si>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</si>
  <si>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</si>
  <si>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</si>
  <si>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</si>
  <si>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</si>
  <si>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</si>
  <si>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</si>
  <si>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</si>
  <si>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</si>
  <si>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</si>
  <si>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</si>
  <si>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</si>
  <si>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</si>
  <si>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</si>
  <si>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</si>
  <si>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</si>
  <si>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</si>
  <si>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</si>
  <si>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</si>
  <si>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</si>
  <si>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</si>
  <si>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</si>
  <si>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</si>
  <si>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</si>
  <si>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</si>
  <si>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</si>
  <si>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</si>
  <si>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</si>
  <si>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</si>
  <si>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</si>
  <si>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</si>
  <si>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</si>
  <si>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</si>
  <si>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</si>
  <si>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</si>
  <si>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</si>
  <si>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</si>
  <si>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</si>
  <si>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</si>
  <si>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</si>
  <si>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</si>
  <si>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</si>
  <si>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</si>
  <si>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</si>
  <si>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</si>
  <si>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</si>
  <si>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</si>
  <si>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</si>
  <si>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</si>
  <si>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</si>
  <si>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</si>
  <si>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</si>
  <si>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</si>
  <si>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</si>
  <si>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</si>
  <si>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</si>
  <si>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</si>
  <si>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</si>
  <si>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</si>
  <si>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</si>
  <si>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</si>
  <si>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</si>
  <si>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</si>
  <si>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</si>
  <si>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</si>
  <si>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</si>
  <si>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</si>
  <si>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</si>
  <si>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</si>
  <si>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</si>
  <si>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</si>
  <si>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</si>
  <si>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</si>
  <si>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</si>
  <si>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</si>
  <si>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</si>
  <si>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</si>
  <si>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</si>
  <si>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</si>
  <si>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</si>
  <si>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</si>
  <si>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</si>
  <si>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</si>
  <si>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</si>
  <si>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</si>
  <si>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</si>
  <si>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</si>
  <si>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</si>
  <si>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</si>
  <si>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</si>
  <si>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</si>
  <si>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</si>
  <si>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</si>
  <si>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</si>
  <si>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</si>
  <si>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</si>
  <si>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</si>
  <si>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</si>
  <si>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</si>
  <si>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</si>
  <si>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</si>
  <si>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</si>
  <si>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</si>
  <si>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</si>
  <si>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</si>
  <si>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</si>
  <si>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</si>
  <si>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</si>
  <si>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</si>
  <si>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</si>
  <si>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</si>
  <si>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</si>
  <si>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</si>
  <si>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</si>
  <si>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</si>
  <si>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</si>
  <si>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</si>
  <si>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</si>
  <si>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</si>
  <si>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</si>
  <si>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</si>
  <si>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</si>
  <si>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</si>
  <si>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</si>
  <si>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</si>
  <si>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</si>
  <si>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</si>
  <si>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</si>
  <si>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</si>
  <si>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</si>
  <si>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</si>
  <si>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</si>
  <si>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</si>
  <si>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</si>
  <si>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</si>
  <si>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</si>
  <si>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</si>
  <si>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</si>
  <si>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</si>
  <si>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</si>
  <si>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</si>
  <si>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</si>
  <si>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</si>
  <si>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</si>
  <si>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</si>
  <si>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</si>
  <si>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</si>
  <si>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</si>
  <si>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</si>
  <si>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</si>
  <si>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</si>
  <si>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</si>
  <si>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</si>
  <si>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</si>
  <si>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</si>
  <si>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</si>
  <si>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</si>
  <si>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</si>
  <si>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</si>
  <si>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</si>
  <si>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</si>
  <si>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</si>
  <si>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</si>
  <si>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</si>
  <si>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</si>
  <si>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</si>
  <si>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</si>
  <si>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</si>
  <si>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</si>
  <si>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</si>
  <si>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</si>
  <si>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</si>
  <si>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</si>
  <si>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</si>
  <si>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</si>
  <si>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</si>
  <si>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</si>
  <si>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</si>
  <si>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</si>
  <si>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</si>
  <si>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</si>
  <si>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</si>
  <si>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</si>
  <si>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</si>
  <si>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</si>
  <si>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</si>
  <si>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</si>
  <si>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</si>
  <si>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</si>
  <si>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</si>
  <si>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</si>
  <si>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</si>
  <si>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</si>
  <si>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</si>
  <si>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</si>
  <si>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</si>
  <si>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</si>
  <si>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</si>
  <si>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</si>
  <si>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</si>
  <si>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</si>
  <si>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</si>
  <si>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</si>
  <si>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</si>
  <si>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</si>
  <si>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</si>
  <si>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</si>
  <si>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</si>
  <si>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</si>
  <si>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</si>
  <si>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</si>
  <si>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</si>
  <si>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</si>
  <si>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</si>
  <si>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</si>
  <si>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</si>
  <si>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</si>
  <si>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</si>
  <si>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</si>
  <si>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</si>
  <si>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</si>
  <si>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</si>
  <si>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</si>
  <si>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</si>
  <si>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</si>
  <si>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</si>
  <si>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</si>
  <si>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</si>
  <si>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</si>
  <si>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</si>
  <si>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</si>
  <si>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</si>
  <si>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</si>
  <si>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</si>
  <si>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</si>
  <si>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</si>
  <si>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</si>
  <si>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</si>
  <si>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</si>
  <si>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</si>
  <si>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</si>
  <si>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</si>
  <si>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</si>
  <si>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</si>
  <si>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</si>
  <si>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</si>
  <si>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</si>
  <si>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</si>
  <si>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</si>
  <si>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</si>
  <si>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</si>
  <si>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</si>
  <si>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</si>
  <si>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</si>
  <si>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</si>
  <si>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</si>
  <si>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</si>
  <si>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</si>
  <si>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</si>
  <si>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</si>
  <si>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</si>
  <si>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</si>
  <si>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</si>
  <si>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</si>
  <si>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</si>
  <si>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</si>
  <si>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</si>
  <si>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</si>
  <si>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</si>
  <si>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</si>
  <si>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</si>
  <si>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</si>
  <si>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</si>
  <si>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</si>
  <si>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</si>
  <si>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</si>
  <si>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</si>
  <si>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</si>
  <si>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</si>
  <si>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</si>
  <si>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</si>
  <si>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</si>
  <si>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</si>
  <si>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</si>
  <si>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</si>
  <si>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</si>
  <si>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</si>
  <si>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</si>
  <si>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</si>
  <si>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</si>
  <si>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</si>
  <si>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</si>
  <si>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</si>
  <si>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</si>
  <si>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</si>
  <si>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</si>
  <si>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</si>
  <si>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</si>
  <si>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</si>
  <si>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</si>
  <si>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</si>
  <si>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</si>
  <si>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</si>
  <si>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</si>
  <si>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</si>
  <si>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</si>
  <si>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</si>
  <si>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</si>
  <si>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</si>
  <si>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</si>
  <si>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</si>
  <si>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</si>
  <si>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</si>
  <si>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</si>
  <si>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</si>
  <si>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</si>
  <si>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</si>
  <si>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</si>
  <si>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</si>
  <si>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</si>
  <si>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</si>
  <si>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</si>
  <si>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</si>
  <si>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</si>
  <si>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</si>
  <si>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</si>
  <si>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</si>
  <si>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</si>
  <si>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</si>
  <si>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</si>
  <si>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</si>
  <si>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</si>
  <si>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</si>
  <si>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</si>
  <si>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</si>
  <si>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</si>
  <si>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</si>
  <si>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</si>
  <si>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</si>
  <si>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</si>
  <si>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</si>
  <si>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</si>
  <si>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</si>
  <si>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</si>
  <si>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</si>
  <si>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</si>
  <si>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</si>
  <si>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</si>
  <si>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</si>
  <si>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</si>
  <si>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</si>
  <si>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</si>
  <si>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</si>
  <si>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</si>
  <si>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</si>
  <si>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</si>
  <si>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</si>
  <si>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</si>
  <si>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</si>
  <si>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</si>
  <si>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</si>
  <si>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</si>
  <si>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</si>
  <si>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</si>
  <si>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</si>
  <si>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</si>
  <si>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</si>
  <si>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</si>
  <si>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</si>
  <si>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</si>
  <si>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</si>
  <si>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</si>
  <si>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</si>
  <si>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</si>
  <si>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</si>
  <si>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</si>
  <si>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</si>
  <si>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</si>
  <si>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</si>
  <si>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</si>
  <si>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</si>
  <si>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</si>
  <si>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</si>
  <si>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</si>
  <si>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</si>
  <si>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</si>
  <si>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</si>
  <si>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</si>
  <si>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</si>
  <si>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</si>
  <si>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</si>
  <si>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</si>
  <si>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</si>
  <si>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</si>
  <si>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</si>
  <si>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</si>
  <si>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</si>
  <si>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</si>
  <si>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</si>
  <si>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</si>
  <si>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</si>
  <si>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</si>
  <si>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</si>
  <si>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</si>
  <si>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</si>
  <si>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</si>
  <si>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</si>
  <si>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</si>
  <si>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</si>
  <si>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</si>
  <si>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</si>
  <si>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</si>
  <si>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</si>
  <si>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</si>
  <si>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</si>
  <si>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</si>
  <si>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</si>
  <si>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</si>
  <si>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</si>
  <si>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</si>
  <si>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</si>
  <si>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</si>
  <si>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</si>
  <si>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</si>
  <si>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</si>
  <si>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</si>
  <si>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</si>
  <si>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</si>
  <si>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</si>
  <si>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</si>
  <si>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</si>
  <si>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</si>
  <si>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</si>
  <si>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</si>
  <si>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</si>
  <si>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</si>
  <si>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</si>
  <si>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</si>
  <si>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</si>
  <si>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</si>
  <si>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</si>
  <si>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</si>
  <si>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</si>
  <si>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</si>
  <si>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</si>
  <si>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</si>
  <si>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</si>
  <si>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</si>
  <si>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</si>
  <si>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</si>
  <si>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</si>
  <si>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</si>
  <si>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</si>
  <si>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</si>
  <si>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</si>
  <si>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</si>
  <si>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</si>
  <si>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</si>
  <si>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</si>
  <si>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</si>
  <si>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</si>
  <si>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</si>
  <si>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</si>
  <si>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</si>
  <si>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</si>
  <si>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</si>
  <si>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</si>
  <si>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</si>
  <si>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</si>
  <si>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</si>
  <si>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</si>
  <si>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</si>
  <si>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</si>
  <si>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</si>
  <si>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</si>
  <si>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</si>
  <si>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</si>
  <si>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</si>
  <si>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</si>
  <si>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</si>
  <si>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</si>
  <si>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</si>
  <si>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</si>
  <si>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</si>
  <si>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</si>
  <si>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</si>
  <si>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</si>
  <si>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</si>
  <si>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</si>
  <si>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</si>
  <si>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</si>
  <si>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</si>
  <si>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</si>
  <si>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</si>
  <si>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</si>
  <si>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</si>
  <si>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</si>
  <si>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</si>
  <si>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</si>
  <si>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</si>
  <si>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</si>
  <si>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</si>
  <si>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</si>
  <si>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</si>
  <si>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</si>
  <si>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</si>
  <si>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</si>
  <si>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</si>
  <si>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</si>
  <si>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</si>
  <si>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</si>
  <si>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</si>
  <si>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</si>
  <si>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</si>
  <si>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</si>
  <si>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</si>
  <si>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</si>
  <si>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</si>
  <si>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</si>
  <si>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</si>
  <si>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</si>
  <si>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</si>
  <si>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</si>
  <si>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</si>
  <si>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</si>
  <si>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</si>
  <si>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</si>
  <si>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</si>
  <si>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</si>
  <si>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</si>
  <si>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</si>
  <si>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</si>
  <si>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</si>
  <si>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</si>
  <si>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</si>
  <si>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</si>
  <si>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</si>
  <si>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</si>
  <si>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</si>
  <si>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</si>
  <si>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</si>
  <si>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</si>
  <si>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</si>
  <si>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</si>
  <si>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</si>
  <si>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</si>
  <si>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</si>
  <si>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</si>
  <si>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</si>
  <si>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</si>
  <si>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</si>
  <si>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</si>
  <si>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</si>
  <si>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</si>
  <si>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</si>
  <si>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</si>
  <si>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</si>
  <si>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</si>
  <si>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</si>
  <si>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</si>
  <si>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</si>
  <si>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</si>
  <si>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</si>
  <si>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</si>
  <si>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</si>
  <si>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</si>
  <si>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</si>
  <si>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</si>
  <si>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</si>
  <si>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</si>
  <si>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</si>
  <si>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</si>
  <si>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</si>
  <si>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</si>
  <si>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</si>
  <si>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</si>
  <si>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</si>
  <si>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</si>
  <si>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</si>
  <si>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</si>
  <si>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</si>
  <si>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</si>
  <si>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</si>
  <si>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</si>
  <si>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</si>
  <si>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</si>
  <si>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</si>
  <si>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</si>
  <si>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</si>
  <si>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</si>
  <si>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</si>
  <si>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</si>
  <si>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</si>
  <si>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</si>
  <si>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</si>
  <si>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</si>
  <si>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</si>
  <si>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</si>
  <si>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</si>
  <si>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</si>
  <si>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</si>
  <si>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</si>
  <si>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</si>
  <si>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</si>
  <si>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</si>
  <si>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</si>
  <si>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</si>
  <si>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</si>
  <si>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</si>
  <si>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</si>
  <si>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</si>
  <si>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</si>
  <si>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</si>
  <si>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</si>
  <si>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</si>
  <si>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</si>
  <si>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</si>
  <si>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</si>
  <si>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</si>
  <si>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</si>
  <si>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</si>
  <si>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</si>
  <si>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</si>
  <si>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</si>
  <si>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</si>
  <si>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</si>
  <si>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</si>
  <si>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</si>
  <si>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</si>
  <si>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</si>
  <si>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</si>
  <si>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</si>
  <si>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</si>
  <si>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</si>
  <si>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</si>
  <si>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</si>
  <si>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</si>
  <si>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</si>
  <si>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</si>
  <si>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</si>
  <si>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</si>
  <si>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</si>
  <si>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</si>
  <si>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</si>
  <si>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</si>
  <si>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</si>
  <si>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</si>
  <si>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</si>
  <si>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</si>
  <si>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</si>
  <si>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</si>
  <si>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</si>
  <si>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</si>
  <si>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</si>
  <si>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</si>
  <si>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</si>
  <si>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</si>
  <si>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</si>
  <si>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</si>
  <si>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</si>
  <si>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</si>
  <si>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</si>
  <si>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</si>
  <si>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</si>
  <si>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</si>
  <si>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</si>
  <si>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</si>
  <si>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</si>
  <si>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</si>
  <si>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</si>
  <si>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</si>
  <si>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</si>
  <si>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</si>
  <si>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</si>
  <si>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</si>
  <si>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</si>
  <si>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</si>
  <si>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</si>
  <si>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</si>
  <si>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</si>
  <si>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</si>
  <si>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</si>
  <si>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</si>
  <si>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</si>
  <si>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</si>
  <si>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</si>
  <si>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</si>
  <si>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</si>
  <si>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</si>
  <si>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</si>
  <si>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</si>
  <si>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</si>
  <si>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</si>
  <si>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</si>
  <si>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</si>
  <si>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</si>
  <si>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</si>
  <si>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</si>
  <si>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</si>
  <si>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</si>
  <si>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</si>
  <si>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</si>
  <si>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</si>
  <si>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</si>
  <si>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</si>
  <si>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</si>
  <si>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</si>
  <si>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</si>
  <si>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</si>
  <si>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</si>
  <si>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</si>
  <si>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</si>
  <si>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</si>
  <si>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</si>
  <si>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</si>
  <si>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</si>
  <si>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</si>
  <si>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</si>
  <si>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</si>
  <si>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</si>
  <si>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</si>
  <si>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</si>
  <si>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</si>
  <si>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</si>
  <si>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</si>
  <si>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</si>
  <si>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</si>
  <si>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</si>
  <si>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</si>
  <si>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</si>
  <si>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</si>
  <si>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</si>
  <si>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</si>
  <si>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</si>
  <si>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</si>
  <si>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</si>
  <si>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</si>
  <si>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</si>
  <si>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</si>
  <si>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</si>
  <si>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</si>
  <si>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</si>
  <si>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</si>
  <si>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</si>
  <si>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</si>
  <si>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</si>
  <si>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</si>
  <si>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</si>
  <si>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</si>
  <si>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</si>
  <si>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</si>
  <si>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</si>
  <si>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</si>
  <si>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</si>
  <si>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</si>
  <si>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</si>
  <si>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</si>
  <si>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</si>
  <si>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</si>
  <si>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</si>
  <si>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</si>
  <si>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</si>
  <si>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</si>
  <si>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</si>
  <si>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</si>
  <si>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</si>
  <si>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</si>
  <si>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</si>
  <si>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</si>
  <si>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</si>
  <si>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</si>
  <si>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</si>
  <si>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</si>
  <si>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</si>
  <si>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</si>
  <si>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</si>
  <si>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</si>
  <si>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</si>
  <si>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</si>
  <si>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</si>
  <si>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</si>
  <si>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</si>
  <si>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</si>
  <si>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</si>
  <si>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</si>
  <si>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</si>
  <si>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</si>
  <si>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</si>
  <si>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</si>
  <si>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</si>
  <si>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</si>
  <si>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</si>
  <si>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</si>
  <si>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</si>
  <si>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</si>
  <si>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</si>
  <si>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</si>
  <si>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</si>
  <si>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</si>
  <si>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</si>
  <si>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</si>
  <si>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</si>
  <si>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</si>
  <si>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</si>
  <si>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</si>
  <si>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</si>
  <si>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</si>
  <si>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</si>
  <si>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</si>
  <si>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</si>
  <si>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</si>
  <si>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</si>
  <si>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</si>
  <si>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</si>
  <si>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</si>
  <si>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</si>
  <si>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</si>
  <si>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</si>
  <si>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</si>
  <si>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</si>
  <si>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</si>
  <si>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</si>
  <si>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</si>
  <si>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</si>
  <si>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</si>
  <si>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</si>
  <si>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</si>
  <si>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</si>
  <si>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</si>
  <si>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</si>
  <si>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</si>
  <si>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</si>
  <si>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</si>
  <si>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</si>
  <si>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</si>
  <si>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</si>
  <si>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</si>
  <si>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</si>
  <si>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</si>
  <si>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</si>
  <si>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</si>
  <si>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</si>
  <si>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</si>
  <si>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</si>
  <si>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</si>
  <si>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</si>
  <si>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</si>
  <si>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</si>
  <si>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</si>
  <si>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</si>
  <si>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</si>
  <si>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</si>
  <si>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</si>
  <si>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</si>
  <si>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</si>
  <si>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</si>
  <si>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</si>
  <si>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</si>
  <si>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</si>
  <si>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</si>
  <si>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</si>
  <si>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</si>
  <si>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</si>
  <si>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</si>
  <si>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</si>
  <si>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</si>
  <si>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</si>
  <si>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</si>
  <si>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</si>
  <si>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</si>
  <si>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</si>
  <si>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</si>
  <si>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</si>
  <si>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</si>
  <si>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</si>
  <si>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</si>
  <si>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</si>
  <si>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</si>
  <si>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</si>
  <si>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</si>
  <si>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</si>
  <si>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</si>
  <si>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</si>
  <si>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</si>
  <si>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</si>
  <si>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</si>
  <si>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</si>
  <si>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</si>
  <si>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</si>
  <si>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</si>
  <si>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</si>
  <si>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</si>
  <si>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</si>
  <si>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</si>
  <si>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</si>
  <si>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</si>
  <si>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</si>
  <si>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</si>
  <si>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</si>
  <si>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</si>
  <si>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</si>
  <si>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</si>
  <si>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</si>
  <si>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</si>
  <si>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</si>
  <si>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</si>
  <si>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</si>
  <si>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</si>
  <si>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</si>
  <si>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</si>
  <si>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</si>
  <si>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</si>
  <si>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</si>
  <si>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</si>
  <si>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</si>
  <si>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</si>
  <si>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</si>
  <si>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</si>
  <si>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</si>
  <si>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</si>
  <si>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</si>
  <si>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</si>
  <si>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</si>
  <si>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</si>
  <si>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</si>
  <si>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</si>
  <si>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</si>
  <si>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</si>
  <si>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</si>
  <si>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</si>
  <si>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</si>
  <si>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</si>
  <si>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</si>
  <si>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</si>
  <si>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</si>
  <si>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</si>
  <si>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</si>
  <si>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</si>
  <si>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</si>
  <si>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</si>
  <si>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</si>
  <si>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</si>
  <si>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</si>
  <si>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</si>
  <si>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</si>
  <si>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</si>
  <si>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</si>
  <si>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</si>
  <si>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</si>
  <si>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</si>
  <si>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</si>
  <si>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</si>
  <si>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</si>
  <si>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</si>
  <si>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</si>
  <si>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</si>
  <si>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</si>
  <si>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</si>
  <si>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</si>
  <si>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</si>
  <si>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</si>
  <si>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</si>
  <si>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</si>
  <si>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</si>
  <si>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</si>
  <si>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</si>
  <si>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</si>
  <si>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</si>
  <si>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</si>
  <si>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</si>
  <si>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</si>
  <si>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</si>
  <si>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</si>
  <si>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</si>
  <si>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</si>
  <si>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</si>
  <si>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</si>
  <si>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</si>
  <si>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</si>
  <si>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</si>
  <si>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</si>
  <si>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</si>
  <si>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</si>
  <si>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</si>
  <si>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</si>
  <si>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</si>
  <si>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</si>
  <si>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</si>
  <si>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</si>
  <si>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</si>
  <si>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</si>
  <si>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</si>
  <si>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</si>
  <si>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</si>
  <si>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</si>
  <si>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</si>
  <si>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</si>
  <si>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</si>
  <si>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</si>
  <si>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</si>
  <si>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</si>
  <si>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</si>
  <si>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</si>
  <si>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</si>
  <si>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</si>
  <si>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</si>
  <si>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</si>
  <si>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</si>
  <si>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</si>
  <si>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</si>
  <si>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</si>
  <si>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</si>
  <si>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</si>
  <si>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</si>
  <si>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</si>
  <si>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</si>
  <si>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</si>
  <si>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</si>
  <si>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</si>
  <si>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</si>
  <si>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</si>
  <si>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</si>
  <si>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</si>
  <si>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</si>
  <si>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</si>
  <si>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</si>
  <si>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</si>
  <si>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</si>
  <si>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</si>
  <si>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</si>
  <si>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</si>
  <si>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</si>
  <si>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</si>
  <si>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</si>
  <si>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</si>
  <si>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</si>
  <si>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</si>
  <si>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</si>
  <si>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</si>
  <si>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</si>
  <si>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</si>
  <si>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</si>
  <si>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</si>
  <si>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</si>
  <si>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</si>
  <si>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</si>
  <si>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</si>
  <si>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</si>
  <si>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</si>
  <si>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</si>
  <si>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</si>
  <si>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</si>
  <si>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</si>
  <si>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</si>
  <si>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</si>
  <si>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</si>
  <si>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</si>
  <si>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</si>
  <si>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</si>
  <si>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</si>
  <si>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</si>
  <si>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</si>
  <si>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</si>
  <si>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</si>
  <si>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</si>
  <si>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</si>
  <si>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</si>
  <si>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</si>
  <si>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</si>
  <si>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</si>
  <si>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</si>
  <si>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</si>
  <si>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</si>
  <si>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</si>
  <si>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</si>
  <si>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</si>
  <si>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</si>
  <si>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</si>
  <si>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</si>
  <si>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</si>
  <si>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</si>
  <si>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</si>
  <si>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</si>
  <si>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</si>
  <si>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</si>
  <si>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</si>
  <si>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</si>
  <si>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</si>
  <si>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</si>
  <si>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</si>
  <si>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</si>
  <si>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</si>
  <si>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</si>
  <si>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</si>
  <si>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</si>
  <si>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</si>
  <si>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</si>
  <si>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</si>
  <si>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</si>
  <si>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</si>
  <si>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</si>
  <si>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</si>
  <si>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</si>
  <si>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</si>
  <si>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</si>
  <si>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</si>
  <si>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</si>
  <si>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</si>
  <si>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</si>
  <si>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</si>
  <si>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</si>
  <si>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</si>
  <si>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</si>
  <si>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</si>
  <si>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</si>
  <si>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</si>
  <si>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</si>
  <si>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</si>
  <si>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</si>
  <si>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</si>
  <si>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</si>
  <si>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</si>
  <si>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</si>
  <si>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</si>
  <si>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</si>
  <si>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</si>
  <si>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</si>
  <si>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</si>
  <si>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</si>
  <si>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</si>
  <si>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</si>
  <si>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</si>
  <si>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</si>
  <si>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</si>
  <si>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</si>
  <si>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</si>
  <si>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</si>
  <si>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</si>
  <si>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</si>
  <si>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</si>
  <si>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</si>
  <si>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</si>
  <si>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</si>
  <si>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</si>
  <si>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</si>
  <si>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</si>
  <si>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</si>
  <si>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</si>
  <si>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</si>
  <si>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</si>
  <si>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</si>
  <si>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</si>
  <si>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</si>
  <si>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</si>
  <si>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</si>
  <si>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</si>
  <si>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</si>
  <si>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</si>
  <si>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</si>
  <si>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</si>
  <si>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</si>
  <si>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</si>
  <si>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</si>
  <si>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</si>
  <si>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</si>
  <si>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</si>
  <si>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</si>
  <si>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</si>
  <si>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</si>
  <si>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</si>
  <si>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</si>
  <si>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</si>
  <si>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</si>
  <si>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</si>
  <si>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</si>
  <si>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</si>
  <si>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</si>
  <si>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</si>
  <si>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</si>
  <si>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</si>
  <si>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</si>
  <si>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</si>
  <si>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</si>
  <si>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</si>
  <si>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</si>
  <si>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</si>
  <si>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</si>
  <si>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</si>
  <si>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</si>
  <si>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</si>
  <si>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</si>
  <si>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</si>
  <si>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</si>
  <si>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</si>
  <si>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</si>
  <si>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</si>
  <si>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</si>
  <si>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</si>
  <si>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</si>
  <si>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</si>
  <si>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</si>
  <si>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</si>
  <si>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</si>
  <si>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</si>
  <si>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</si>
  <si>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</si>
  <si>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</si>
  <si>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</si>
  <si>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</si>
  <si>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</si>
  <si>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</si>
  <si>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</si>
  <si>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</si>
  <si>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</si>
  <si>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</si>
  <si>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</si>
  <si>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</si>
  <si>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</si>
  <si>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</si>
  <si>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</si>
  <si>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</si>
  <si>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</si>
  <si>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</si>
  <si>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</si>
  <si>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</si>
  <si>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</si>
  <si>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</si>
  <si>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</si>
  <si>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</si>
  <si>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</si>
  <si>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</si>
  <si>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</si>
  <si>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</si>
  <si>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</si>
  <si>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</si>
  <si>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</si>
  <si>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</si>
  <si>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</si>
  <si>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</si>
  <si>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</si>
  <si>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</si>
  <si>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</si>
  <si>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</si>
  <si>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</si>
  <si>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</si>
  <si>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抵押</t>
  </si>
  <si>
    <t>房地产抵押价值</t>
  </si>
  <si>
    <t>自然人</t>
  </si>
  <si>
    <t>房屋所有权证</t>
  </si>
  <si>
    <t>办公</t>
  </si>
  <si>
    <t>无租约</t>
  </si>
  <si>
    <t>利息：取LPR加浮动点数</t>
  </si>
  <si>
    <t>成本法</t>
  </si>
  <si>
    <t>收益法</t>
  </si>
  <si>
    <t>未包含在土地购买价格中</t>
  </si>
  <si>
    <t>已包含在土地取得成本中</t>
  </si>
  <si>
    <t>钢混</t>
  </si>
  <si>
    <t>非生产用房</t>
  </si>
  <si>
    <t>是</t>
  </si>
  <si>
    <t>商务金融用地（办公类）</t>
  </si>
  <si>
    <t>通路</t>
  </si>
  <si>
    <t>通电</t>
  </si>
  <si>
    <t>通上水</t>
  </si>
  <si>
    <t>通下水</t>
  </si>
  <si>
    <t>平整</t>
  </si>
  <si>
    <t>与级别开发程度不一致</t>
  </si>
  <si>
    <t>崔锴</t>
  </si>
  <si>
    <t>郑燚</t>
  </si>
  <si>
    <t>朝阳区</t>
    <phoneticPr fontId="7" type="noConversion"/>
  </si>
  <si>
    <r>
      <rPr>
        <sz val="10"/>
        <color indexed="8"/>
        <rFont val="宋体"/>
        <family val="3"/>
        <charset val="134"/>
      </rPr>
      <t>日坛北路</t>
    </r>
    <r>
      <rPr>
        <sz val="10"/>
        <color indexed="8"/>
        <rFont val="Arial"/>
        <family val="2"/>
      </rPr>
      <t>17</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1301</t>
    </r>
    <r>
      <rPr>
        <sz val="10"/>
        <color indexed="8"/>
        <rFont val="宋体"/>
        <family val="3"/>
        <charset val="134"/>
      </rPr>
      <t>、</t>
    </r>
    <r>
      <rPr>
        <sz val="10"/>
        <color indexed="8"/>
        <rFont val="Arial"/>
        <family val="2"/>
      </rPr>
      <t>1302</t>
    </r>
    <r>
      <rPr>
        <sz val="10"/>
        <color indexed="8"/>
        <rFont val="宋体"/>
        <family val="3"/>
        <charset val="134"/>
      </rPr>
      <t>号</t>
    </r>
    <phoneticPr fontId="7" type="noConversion"/>
  </si>
  <si>
    <t>办公</t>
    <phoneticPr fontId="7" type="noConversion"/>
  </si>
  <si>
    <t>与房产证证载一致</t>
  </si>
  <si>
    <t>元</t>
  </si>
  <si>
    <t>楼面单价</t>
  </si>
  <si>
    <r>
      <rPr>
        <sz val="10"/>
        <color indexed="8"/>
        <rFont val="宋体"/>
        <family val="3"/>
        <charset val="134"/>
      </rPr>
      <t>询价</t>
    </r>
    <r>
      <rPr>
        <sz val="10"/>
        <color indexed="8"/>
        <rFont val="Arial"/>
        <family val="2"/>
      </rPr>
      <t>34000</t>
    </r>
    <phoneticPr fontId="8" type="noConversion"/>
  </si>
  <si>
    <t>不临58条商业街</t>
  </si>
  <si>
    <t>通讯</t>
  </si>
  <si>
    <t>设定收益年期(n)</t>
  </si>
  <si>
    <t>询价</t>
    <phoneticPr fontId="91" type="noConversion"/>
  </si>
  <si>
    <t>楼层</t>
    <phoneticPr fontId="20" type="noConversion"/>
  </si>
  <si>
    <t>高区</t>
  </si>
  <si>
    <t>高区</t>
    <phoneticPr fontId="20" type="noConversion"/>
  </si>
  <si>
    <t>装修</t>
    <phoneticPr fontId="20" type="noConversion"/>
  </si>
  <si>
    <t>普通装修</t>
  </si>
  <si>
    <t>普通装修</t>
    <phoneticPr fontId="20" type="noConversion"/>
  </si>
  <si>
    <t>——</t>
    <phoneticPr fontId="146" type="noConversion"/>
  </si>
  <si>
    <t>朝向</t>
    <phoneticPr fontId="20" type="noConversion"/>
  </si>
  <si>
    <t>西北</t>
    <phoneticPr fontId="20" type="noConversion"/>
  </si>
  <si>
    <t>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</si>
</sst>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8" borderId="0" xfId="0" applyFont="1" applyFill="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1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227886</xdr:colOff>
      <xdr:row>18</xdr:row>
      <xdr:rowOff>94853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14286" cy="3180953"/>
        </a:xfrm>
        <a:prstGeom prst="rect">
          <a:avLst/>
        </a:prstGeom>
      </xdr:spPr>
    </xdr:pic>
    <xdr:clientData/>
  </xdr:twoCellAnchor>
  <xdr:twoCellAnchor editAs="oneCell">
    <xdr:from>
      <xdr:col>0</xdr:col>
      <xdr:colOff>0</xdr:colOff>
      <xdr:row>19</xdr:row>
      <xdr:rowOff>0</xdr:rowOff>
    </xdr:from>
    <xdr:to>
      <xdr:col>11</xdr:col>
      <xdr:colOff>437153</xdr:colOff>
      <xdr:row>34</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7980953" cy="2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 ca="1">'预评函-封皮'!B18</f>
        <v>崔锴（注册号:1120100036）、郑燚（注册号:1120070131)</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估价对象为北京市房地产，为XX所有。根据《房屋所有权证》[]，估价对象建筑面积为259.41平方米。根据《》[]，估价对象（分摊）出让国有建设用地使用权面积为平方米。估价对象用途为。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2022年3月16日</v>
      </c>
    </row>
    <row r="10" spans="1:2">
      <c r="A10" s="1179" t="s">
        <v>1047</v>
      </c>
      <c r="B10" s="1166" t="str">
        <f>'预评函-1'!A13</f>
        <v>本次估价的“房地产价值”是指在正常市场情况下，在价值时点2022年3月16日，估价对象规划用途为，假定未设立法定优先受偿款下的房地产市场价值。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本次评估采用的主估价方法为成本法和收益法。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259.41000000000003</v>
      </c>
    </row>
    <row r="19" spans="1:2">
      <c r="A19" s="1179" t="s">
        <v>1056</v>
      </c>
      <c r="B19" s="1166">
        <f ca="1">'预评函-2（1）'!D7</f>
        <v>15562394</v>
      </c>
    </row>
    <row r="20" spans="1:2">
      <c r="A20" s="1179" t="s">
        <v>1094</v>
      </c>
      <c r="B20" s="1166" t="str">
        <f>'预评函-2（1）'!C7</f>
        <v>总价（元）</v>
      </c>
    </row>
    <row r="21" spans="1:2">
      <c r="A21" s="1179" t="s">
        <v>1057</v>
      </c>
      <c r="B21" s="1166">
        <f ca="1">'预评函-2（1）'!D9</f>
        <v>340750016</v>
      </c>
    </row>
    <row r="22" spans="1:2">
      <c r="A22" s="1179" t="s">
        <v>1058</v>
      </c>
      <c r="B22" s="1166" t="str">
        <f ca="1">'预评函-2（1）'!D8</f>
        <v>壹仟伍佰伍拾陆万贰仟叁佰玖拾肆元整</v>
      </c>
    </row>
    <row r="23" spans="1:2">
      <c r="A23" s="1179" t="s">
        <v>1095</v>
      </c>
      <c r="B23" s="1166">
        <f>'预评函-2（1）'!D10</f>
        <v>0</v>
      </c>
    </row>
    <row r="24" spans="1:2">
      <c r="A24" s="1179" t="s">
        <v>1096</v>
      </c>
      <c r="B24" s="1166" t="str">
        <f>'预评函-2（1）'!C10</f>
        <v>总额（元）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15562394</v>
      </c>
    </row>
    <row r="30" spans="1:2">
      <c r="A30" s="1179" t="s">
        <v>1064</v>
      </c>
      <c r="B30" s="1166" t="str">
        <f ca="1">'预评函-2（1）'!D16</f>
        <v>壹仟伍佰伍拾陆万贰仟叁佰玖拾肆元整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t="str">
        <f>'预评函-3'!A4</f>
        <v>崔锴</v>
      </c>
    </row>
    <row r="53" spans="1:2">
      <c r="A53" s="1179" t="s">
        <v>1086</v>
      </c>
      <c r="B53" s="1166">
        <f ca="1">'预评函-3'!B4</f>
        <v>1120100036</v>
      </c>
    </row>
    <row r="54" spans="1:2">
      <c r="A54" s="1179" t="s">
        <v>1087</v>
      </c>
      <c r="B54" s="1170" t="str">
        <f>'预评函-3'!A5</f>
        <v>郑燚</v>
      </c>
    </row>
    <row r="55" spans="1:2" s="1176" customFormat="1" ht="15.75" thickBot="1">
      <c r="A55" s="1180" t="s">
        <v>1088</v>
      </c>
      <c r="B55" s="1168">
        <f ca="1">'预评函-3'!B5</f>
        <v>1120070131</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单位：元、元/平方米（单位：人民币）</v>
      </c>
    </row>
    <row r="60" spans="1:2">
      <c r="A60" s="1182" t="s">
        <v>1102</v>
      </c>
      <c r="B60" s="1166" t="str">
        <f>'预评函-2（2）'!D2</f>
        <v>出让国有建设用地使用权价值</v>
      </c>
    </row>
    <row r="61" spans="1:2" s="1178" customFormat="1">
      <c r="A61" s="1182" t="s">
        <v>1103</v>
      </c>
      <c r="B61" s="1166" t="str">
        <f>'预评函-2（2）'!A14</f>
        <v>单位：平方米、元、元/平方米（币种：人民币）</v>
      </c>
    </row>
    <row r="62" spans="1:2" ht="28.5">
      <c r="A62" s="1182" t="s">
        <v>1187</v>
      </c>
      <c r="B62" s="1166">
        <f ca="1">'预评函-2（1）'!D38</f>
        <v>340750016</v>
      </c>
    </row>
    <row r="63" spans="1:2" s="1178" customFormat="1" ht="28.5">
      <c r="A63" s="1182" t="s">
        <v>1188</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1186</v>
      </c>
    </row>
    <row r="70" spans="1:2">
      <c r="A70" s="1179"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30" sqref="G3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8" t="s">
        <v>1471</v>
      </c>
      <c r="B1" s="2559" t="str">
        <f>IF(B6="北京市","北京市",C6)&amp;IF(E12="房屋所有权证",B29,E29)&amp;D5&amp;"预评估"</f>
        <v>北京市房地产抵押价值预评估</v>
      </c>
      <c r="C1" s="823"/>
      <c r="D1" s="823"/>
      <c r="E1" s="823"/>
      <c r="F1" s="1394" t="s">
        <v>1472</v>
      </c>
      <c r="G1" s="1160"/>
      <c r="I1" s="2886" t="str">
        <f>IF(B6="北京市","北京市",C6)&amp;IF(E12="房屋所有权证",B29,E29)&amp;"房地产"</f>
        <v>北京市房地产</v>
      </c>
      <c r="J1" s="800"/>
      <c r="K1" s="2888"/>
      <c r="L1" s="2888"/>
      <c r="M1" s="2888"/>
      <c r="N1" s="800"/>
      <c r="O1" s="800"/>
      <c r="P1" s="800"/>
      <c r="Q1" s="800"/>
    </row>
    <row r="2" spans="1:17" ht="13.5" thickTop="1">
      <c r="A2" s="1395" t="s">
        <v>1473</v>
      </c>
      <c r="B2" s="2560"/>
      <c r="C2" s="2858" t="s">
        <v>1474</v>
      </c>
      <c r="D2" s="2560">
        <v>44636</v>
      </c>
      <c r="E2" s="824"/>
      <c r="F2" s="824"/>
      <c r="G2" s="1161"/>
      <c r="H2" s="2870"/>
    </row>
    <row r="3" spans="1:17" ht="13.5" thickBot="1">
      <c r="A3" s="2561" t="s">
        <v>1475</v>
      </c>
      <c r="B3" s="2562" t="s">
        <v>2999</v>
      </c>
      <c r="C3" s="2563">
        <f ca="1">SUMIF(注册房地产估价师,B3,估价师及机构信息!B3:B16)</f>
        <v>1120100036</v>
      </c>
      <c r="D3" s="2562" t="s">
        <v>3000</v>
      </c>
      <c r="E3" s="2564">
        <f ca="1">SUMIF(注册房地产估价师,D3,估价师及机构信息!B3:B16)</f>
        <v>1120070131</v>
      </c>
      <c r="F3" s="825"/>
      <c r="G3" s="1162"/>
      <c r="H3" s="2870"/>
    </row>
    <row r="4" spans="1:17" ht="13.5" customHeight="1" thickTop="1">
      <c r="A4" s="1395" t="s">
        <v>1476</v>
      </c>
      <c r="B4" s="1396" t="s">
        <v>2659</v>
      </c>
      <c r="C4" s="2859" t="s">
        <v>1477</v>
      </c>
      <c r="D4" s="1397" t="s">
        <v>2978</v>
      </c>
      <c r="E4" s="824"/>
      <c r="F4" s="824"/>
      <c r="G4" s="1161"/>
    </row>
    <row r="5" spans="1:17">
      <c r="A5" s="1398" t="s">
        <v>1478</v>
      </c>
      <c r="B5" s="1399" t="s">
        <v>2660</v>
      </c>
      <c r="C5" s="2860" t="s">
        <v>1479</v>
      </c>
      <c r="D5" s="1401" t="s">
        <v>2979</v>
      </c>
      <c r="E5" s="2861" t="s">
        <v>1480</v>
      </c>
      <c r="F5" s="1401" t="s">
        <v>2979</v>
      </c>
      <c r="G5" s="1402"/>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5" t="s">
        <v>2977</v>
      </c>
      <c r="C6" s="3314" t="s">
        <v>3001</v>
      </c>
      <c r="D6" s="2566" t="s">
        <v>1482</v>
      </c>
      <c r="E6" s="811"/>
      <c r="F6" s="811"/>
      <c r="G6" s="830"/>
      <c r="I6" s="800" t="str">
        <f>IF(COUNTIF(B5,"*上海银行*"),"上海银行","")</f>
        <v/>
      </c>
      <c r="J6" s="800"/>
      <c r="K6" s="2888"/>
      <c r="L6" s="2888"/>
      <c r="M6" s="2888"/>
      <c r="N6" s="800"/>
      <c r="O6" s="800"/>
      <c r="P6" s="800"/>
      <c r="Q6" s="800"/>
    </row>
    <row r="7" spans="1:17" ht="13.5" thickBot="1">
      <c r="A7" s="2863" t="s">
        <v>1483</v>
      </c>
      <c r="B7" s="2567" t="s">
        <v>2980</v>
      </c>
      <c r="C7" s="1493" t="str">
        <f>IF(B7="自然人","姓名","名称")</f>
        <v>姓名</v>
      </c>
      <c r="D7" s="1406" t="s">
        <v>2660</v>
      </c>
      <c r="E7" s="825"/>
      <c r="F7" s="825"/>
      <c r="G7" s="1162"/>
    </row>
    <row r="8" spans="1:17" ht="13.5" thickTop="1">
      <c r="A8" s="3383" t="s">
        <v>1484</v>
      </c>
      <c r="B8" s="1407" t="s">
        <v>1485</v>
      </c>
      <c r="C8" s="3395" t="s">
        <v>3002</v>
      </c>
      <c r="D8" s="3396"/>
      <c r="E8" s="2568" t="s">
        <v>1486</v>
      </c>
      <c r="F8" s="2569" t="s">
        <v>1487</v>
      </c>
      <c r="G8" s="2570" t="str">
        <f>C6</f>
        <v>朝阳区</v>
      </c>
    </row>
    <row r="9" spans="1:17" ht="25.5">
      <c r="A9" s="3383"/>
      <c r="B9" s="259" t="s">
        <v>1488</v>
      </c>
      <c r="C9" s="3315" t="s">
        <v>3003</v>
      </c>
      <c r="D9" s="1408" t="s">
        <v>3004</v>
      </c>
      <c r="E9" s="2864" t="s">
        <v>1489</v>
      </c>
      <c r="F9" s="2571" t="s">
        <v>161</v>
      </c>
      <c r="G9" s="2572"/>
    </row>
    <row r="10" spans="1:17" ht="13.5" thickBot="1">
      <c r="A10" s="3383"/>
      <c r="B10" s="259" t="s">
        <v>1490</v>
      </c>
      <c r="C10" s="3397"/>
      <c r="D10" s="3398"/>
      <c r="E10" s="2865" t="s">
        <v>1491</v>
      </c>
      <c r="F10" s="2573" t="s">
        <v>162</v>
      </c>
      <c r="G10" s="2574"/>
    </row>
    <row r="11" spans="1:17" ht="13.5" thickBot="1">
      <c r="A11" s="3383"/>
      <c r="B11" s="1410" t="s">
        <v>1492</v>
      </c>
      <c r="C11" s="3399"/>
      <c r="D11" s="3400"/>
      <c r="E11" s="811"/>
      <c r="F11" s="811"/>
      <c r="G11" s="830"/>
    </row>
    <row r="12" spans="1:17" ht="13.5" thickBot="1">
      <c r="A12" s="3386" t="s">
        <v>2767</v>
      </c>
      <c r="B12" s="2866" t="s">
        <v>1493</v>
      </c>
      <c r="C12" s="808">
        <v>259.41000000000003</v>
      </c>
      <c r="D12" s="1411" t="s">
        <v>1494</v>
      </c>
      <c r="E12" s="1412" t="s">
        <v>2981</v>
      </c>
      <c r="F12" s="1413"/>
      <c r="G12" s="830"/>
    </row>
    <row r="13" spans="1:17" ht="21" customHeight="1" thickBot="1">
      <c r="A13" s="3387"/>
      <c r="B13" s="2867" t="s">
        <v>1495</v>
      </c>
      <c r="C13" s="809"/>
      <c r="D13" s="1414" t="s">
        <v>1496</v>
      </c>
      <c r="E13" s="1415"/>
      <c r="F13" s="811"/>
      <c r="G13" s="830"/>
      <c r="I13" s="3372"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2768</v>
      </c>
      <c r="C14" s="2576"/>
      <c r="D14" s="811"/>
      <c r="E14" s="811"/>
      <c r="F14" s="811"/>
      <c r="G14" s="830"/>
      <c r="I14" s="3372"/>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1498</v>
      </c>
      <c r="C15" s="826">
        <v>3.5</v>
      </c>
      <c r="D15" s="825"/>
      <c r="E15" s="825"/>
      <c r="F15" s="825"/>
      <c r="G15" s="1162"/>
      <c r="I15" s="3372"/>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1499</v>
      </c>
      <c r="B16" s="1416" t="s">
        <v>1500</v>
      </c>
      <c r="C16" s="2578"/>
      <c r="D16" s="1409" t="s">
        <v>1501</v>
      </c>
      <c r="E16" s="2579"/>
      <c r="F16" s="1417" t="str">
        <f>IF(AND(C16="是",E16="否"),"是否提供他项权证或相关说明","")</f>
        <v/>
      </c>
      <c r="G16" s="2579"/>
      <c r="J16" s="2870"/>
    </row>
    <row r="17" spans="1:66" ht="13.5" customHeight="1">
      <c r="A17" s="1423" t="s">
        <v>1502</v>
      </c>
      <c r="B17" s="3401" t="s">
        <v>1503</v>
      </c>
      <c r="C17" s="3402"/>
      <c r="D17" s="3403" t="s">
        <v>1504</v>
      </c>
      <c r="E17" s="3404"/>
      <c r="F17" s="1418" t="s">
        <v>1505</v>
      </c>
      <c r="G17" s="1419"/>
      <c r="J17" s="2870"/>
    </row>
    <row r="18" spans="1:66" ht="24">
      <c r="A18" s="1423"/>
      <c r="B18" s="2580"/>
      <c r="C18" s="1402"/>
      <c r="D18" s="1420" t="s">
        <v>1506</v>
      </c>
      <c r="E18" s="1421"/>
      <c r="F18" s="1422"/>
      <c r="G18" s="1285"/>
      <c r="H18" s="2870"/>
      <c r="J18" s="2870"/>
    </row>
    <row r="19" spans="1:66" ht="21.75" customHeight="1" thickBot="1">
      <c r="A19" s="1423"/>
      <c r="B19" s="2581"/>
      <c r="C19" s="1415"/>
      <c r="D19" s="1423"/>
      <c r="E19" s="811"/>
      <c r="F19" s="811"/>
      <c r="G19" s="1285"/>
    </row>
    <row r="20" spans="1:66">
      <c r="A20" s="1419" t="s">
        <v>1507</v>
      </c>
      <c r="B20" s="2582" t="s">
        <v>1508</v>
      </c>
      <c r="C20" s="2583"/>
      <c r="D20" s="2584" t="s">
        <v>1508</v>
      </c>
      <c r="E20" s="2583"/>
      <c r="F20" s="811"/>
      <c r="G20" s="1285"/>
    </row>
    <row r="21" spans="1:66">
      <c r="A21" s="1285"/>
      <c r="B21" s="2585" t="s">
        <v>1509</v>
      </c>
      <c r="C21" s="2853"/>
      <c r="D21" s="1423" t="s">
        <v>1509</v>
      </c>
      <c r="E21" s="2586"/>
      <c r="F21" s="811"/>
      <c r="G21" s="1285"/>
    </row>
    <row r="22" spans="1:66">
      <c r="A22" s="1285"/>
      <c r="B22" s="811" t="s">
        <v>1510</v>
      </c>
      <c r="C22" s="2587"/>
      <c r="D22" s="811" t="s">
        <v>1510</v>
      </c>
      <c r="E22" s="2586"/>
      <c r="F22" s="811"/>
      <c r="G22" s="1285"/>
    </row>
    <row r="23" spans="1:66" s="2852" customFormat="1" ht="16.5" thickBot="1">
      <c r="A23" s="1286"/>
      <c r="B23" s="829" t="s">
        <v>1511</v>
      </c>
      <c r="C23" s="809"/>
      <c r="D23" s="829" t="s">
        <v>1512</v>
      </c>
      <c r="E23" s="2588"/>
      <c r="F23" s="829"/>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2" t="s">
        <v>2766</v>
      </c>
      <c r="B24" s="3382"/>
      <c r="C24" s="3382"/>
      <c r="D24" s="3382"/>
      <c r="E24" s="3382"/>
      <c r="F24" s="3382"/>
      <c r="G24" s="338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6"/>
      <c r="K25" s="2871"/>
    </row>
    <row r="26" spans="1:66" s="836" customFormat="1" ht="13.5" thickBot="1">
      <c r="A26" s="2589"/>
      <c r="B26" s="807" t="s">
        <v>1514</v>
      </c>
      <c r="C26" s="2589"/>
      <c r="D26" s="807"/>
      <c r="E26" s="2590" t="s">
        <v>1515</v>
      </c>
      <c r="F26" s="2589"/>
      <c r="G26" s="2591"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89" t="s">
        <v>1517</v>
      </c>
      <c r="D28" s="3390"/>
      <c r="E28" s="801"/>
      <c r="F28" s="803" t="s">
        <v>1517</v>
      </c>
      <c r="G28" s="801"/>
      <c r="K28" s="2871"/>
    </row>
    <row r="29" spans="1:66">
      <c r="A29" s="804" t="s">
        <v>1518</v>
      </c>
      <c r="B29" s="798"/>
      <c r="C29" s="3391" t="s">
        <v>1519</v>
      </c>
      <c r="D29" s="3392"/>
      <c r="E29" s="798"/>
      <c r="F29" s="804" t="s">
        <v>1519</v>
      </c>
      <c r="G29" s="798"/>
      <c r="K29" s="2871"/>
    </row>
    <row r="30" spans="1:66">
      <c r="A30" s="804" t="s">
        <v>1520</v>
      </c>
      <c r="B30" s="798"/>
      <c r="C30" s="3391" t="s">
        <v>1520</v>
      </c>
      <c r="D30" s="3392"/>
      <c r="E30" s="798"/>
      <c r="F30" s="804" t="s">
        <v>1521</v>
      </c>
      <c r="G30" s="798"/>
      <c r="K30" s="2871"/>
    </row>
    <row r="31" spans="1:66">
      <c r="A31" s="804" t="s">
        <v>1522</v>
      </c>
      <c r="B31" s="798"/>
      <c r="C31" s="3379" t="s">
        <v>1523</v>
      </c>
      <c r="D31" s="811"/>
      <c r="E31" s="2594" t="str">
        <f>E32&amp;" "&amp;E33&amp;" "&amp;E34&amp;" "&amp;E35</f>
        <v xml:space="preserve">   </v>
      </c>
      <c r="F31" s="804" t="s">
        <v>1524</v>
      </c>
      <c r="G31" s="798"/>
    </row>
    <row r="32" spans="1:66">
      <c r="A32" s="804" t="s">
        <v>1525</v>
      </c>
      <c r="B32" s="798"/>
      <c r="C32" s="3380"/>
      <c r="D32" s="259" t="s">
        <v>1526</v>
      </c>
      <c r="E32" s="798"/>
      <c r="F32" s="804" t="s">
        <v>1527</v>
      </c>
      <c r="G32" s="798"/>
    </row>
    <row r="33" spans="1:7" ht="24.75" thickBot="1">
      <c r="A33" s="805" t="s">
        <v>1528</v>
      </c>
      <c r="B33" s="802"/>
      <c r="C33" s="3380"/>
      <c r="D33" s="259" t="s">
        <v>1529</v>
      </c>
      <c r="E33" s="798"/>
      <c r="F33" s="804" t="s">
        <v>1530</v>
      </c>
      <c r="G33" s="798"/>
    </row>
    <row r="34" spans="1:7">
      <c r="A34" s="803" t="s">
        <v>1531</v>
      </c>
      <c r="B34" s="801"/>
      <c r="C34" s="3380"/>
      <c r="D34" s="259" t="s">
        <v>1532</v>
      </c>
      <c r="E34" s="798"/>
      <c r="F34" s="804" t="s">
        <v>1533</v>
      </c>
      <c r="G34" s="798"/>
    </row>
    <row r="35" spans="1:7" ht="13.5" thickBot="1">
      <c r="A35" s="804" t="s">
        <v>1534</v>
      </c>
      <c r="B35" s="798"/>
      <c r="C35" s="3381"/>
      <c r="D35" s="259" t="s">
        <v>1535</v>
      </c>
      <c r="E35" s="798"/>
      <c r="F35" s="805" t="s">
        <v>1536</v>
      </c>
      <c r="G35" s="2595"/>
    </row>
    <row r="36" spans="1:7">
      <c r="A36" s="804" t="s">
        <v>1493</v>
      </c>
      <c r="B36" s="798"/>
      <c r="C36" s="3391" t="s">
        <v>1537</v>
      </c>
      <c r="D36" s="3392"/>
      <c r="E36" s="798"/>
      <c r="F36" s="2596" t="s">
        <v>1538</v>
      </c>
      <c r="G36" s="801"/>
    </row>
    <row r="37" spans="1:7" ht="13.5" thickBot="1">
      <c r="A37" s="804" t="s">
        <v>1539</v>
      </c>
      <c r="B37" s="798"/>
      <c r="C37" s="3393" t="s">
        <v>1540</v>
      </c>
      <c r="D37" s="3394"/>
      <c r="E37" s="802"/>
      <c r="F37" s="1431" t="s">
        <v>1541</v>
      </c>
      <c r="G37" s="798"/>
    </row>
    <row r="38" spans="1:7" ht="13.5" thickBot="1">
      <c r="A38" s="804" t="s">
        <v>1542</v>
      </c>
      <c r="B38" s="798"/>
      <c r="C38" s="3377" t="s">
        <v>1543</v>
      </c>
      <c r="D38" s="1411" t="s">
        <v>1527</v>
      </c>
      <c r="E38" s="801"/>
      <c r="F38" s="805" t="s">
        <v>1544</v>
      </c>
      <c r="G38" s="802"/>
    </row>
    <row r="39" spans="1:7">
      <c r="A39" s="804" t="s">
        <v>1545</v>
      </c>
      <c r="B39" s="798"/>
      <c r="C39" s="3384"/>
      <c r="D39" s="259" t="s">
        <v>1534</v>
      </c>
      <c r="E39" s="798"/>
      <c r="F39" s="803" t="s">
        <v>1546</v>
      </c>
      <c r="G39" s="801"/>
    </row>
    <row r="40" spans="1:7">
      <c r="A40" s="804" t="s">
        <v>1547</v>
      </c>
      <c r="B40" s="798"/>
      <c r="C40" s="3384" t="s">
        <v>1548</v>
      </c>
      <c r="D40" s="259" t="s">
        <v>1493</v>
      </c>
      <c r="E40" s="798"/>
      <c r="F40" s="804" t="s">
        <v>1549</v>
      </c>
      <c r="G40" s="798"/>
    </row>
    <row r="41" spans="1:7" ht="24.75" customHeight="1" thickBot="1">
      <c r="A41" s="805" t="s">
        <v>1550</v>
      </c>
      <c r="B41" s="802"/>
      <c r="C41" s="3385"/>
      <c r="D41" s="1414" t="s">
        <v>1495</v>
      </c>
      <c r="E41" s="802"/>
      <c r="F41" s="805" t="s">
        <v>1551</v>
      </c>
      <c r="G41" s="802"/>
    </row>
    <row r="42" spans="1:7">
      <c r="A42" s="806" t="s">
        <v>1552</v>
      </c>
      <c r="B42" s="2597"/>
      <c r="C42" s="3373" t="s">
        <v>1552</v>
      </c>
      <c r="D42" s="3374"/>
      <c r="E42" s="2597"/>
      <c r="F42" s="803" t="s">
        <v>1553</v>
      </c>
      <c r="G42" s="2597"/>
    </row>
    <row r="43" spans="1:7">
      <c r="A43" s="821" t="s">
        <v>1554</v>
      </c>
      <c r="B43" s="2598"/>
      <c r="C43" s="1423"/>
      <c r="D43" s="2585"/>
      <c r="E43" s="2598"/>
      <c r="F43" s="821"/>
      <c r="G43" s="2598"/>
    </row>
    <row r="44" spans="1:7">
      <c r="A44" s="821" t="s">
        <v>1508</v>
      </c>
      <c r="B44" s="822"/>
      <c r="C44" s="1423"/>
      <c r="D44" s="1489" t="s">
        <v>1508</v>
      </c>
      <c r="E44" s="822"/>
      <c r="F44" s="821" t="s">
        <v>1508</v>
      </c>
      <c r="G44" s="822"/>
    </row>
    <row r="45" spans="1:7">
      <c r="A45" s="821" t="s">
        <v>1509</v>
      </c>
      <c r="B45" s="822"/>
      <c r="C45" s="1423"/>
      <c r="D45" s="2585" t="s">
        <v>1509</v>
      </c>
      <c r="E45" s="822"/>
      <c r="F45" s="821" t="s">
        <v>1509</v>
      </c>
      <c r="G45" s="822"/>
    </row>
    <row r="46" spans="1:7">
      <c r="A46" s="821" t="s">
        <v>1510</v>
      </c>
      <c r="B46" s="822"/>
      <c r="C46" s="1423"/>
      <c r="D46" s="2585" t="s">
        <v>1510</v>
      </c>
      <c r="E46" s="822"/>
      <c r="F46" s="821" t="s">
        <v>1510</v>
      </c>
      <c r="G46" s="822"/>
    </row>
    <row r="47" spans="1:7">
      <c r="A47" s="821" t="s">
        <v>1511</v>
      </c>
      <c r="B47" s="822"/>
      <c r="C47" s="1423"/>
      <c r="D47" s="2585" t="s">
        <v>1511</v>
      </c>
      <c r="E47" s="822"/>
      <c r="F47" s="821" t="s">
        <v>1511</v>
      </c>
      <c r="G47" s="822"/>
    </row>
    <row r="48" spans="1:7">
      <c r="A48" s="821"/>
      <c r="B48" s="822"/>
      <c r="C48" s="1423"/>
      <c r="D48" s="2585"/>
      <c r="E48" s="822"/>
      <c r="F48" s="821"/>
      <c r="G48" s="822"/>
    </row>
    <row r="49" spans="1:66" ht="13.5" thickBot="1">
      <c r="A49" s="805" t="s">
        <v>1555</v>
      </c>
      <c r="B49" s="802"/>
      <c r="C49" s="3375" t="s">
        <v>1555</v>
      </c>
      <c r="D49" s="3376"/>
      <c r="E49" s="820"/>
      <c r="F49" s="805" t="s">
        <v>1556</v>
      </c>
      <c r="G49" s="802"/>
    </row>
    <row r="50" spans="1:66">
      <c r="A50" s="804" t="s">
        <v>1557</v>
      </c>
      <c r="B50" s="819"/>
      <c r="C50" s="3377" t="s">
        <v>1558</v>
      </c>
      <c r="D50" s="3378"/>
      <c r="E50" s="2599"/>
      <c r="F50" s="837"/>
      <c r="G50" s="838"/>
    </row>
    <row r="51" spans="1:66" ht="13.5" thickBot="1">
      <c r="A51" s="804" t="s">
        <v>1559</v>
      </c>
      <c r="B51" s="819"/>
      <c r="C51" s="3385" t="s">
        <v>1560</v>
      </c>
      <c r="D51" s="3388"/>
      <c r="E51" s="802"/>
      <c r="F51" s="811"/>
      <c r="G51" s="830"/>
    </row>
    <row r="52" spans="1:66">
      <c r="A52" s="804" t="s">
        <v>1538</v>
      </c>
      <c r="B52" s="798"/>
      <c r="C52" s="811"/>
      <c r="D52" s="811"/>
      <c r="E52" s="811"/>
      <c r="F52" s="811"/>
      <c r="G52" s="830"/>
    </row>
    <row r="53" spans="1:66" ht="24.75" thickBot="1">
      <c r="A53" s="805" t="s">
        <v>1561</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35" sqref="C35"/>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1562</v>
      </c>
      <c r="B1" s="945"/>
      <c r="D1" s="2600"/>
      <c r="E1" s="2600"/>
    </row>
    <row r="2" spans="1:41" s="2604" customFormat="1" ht="15.75" thickBot="1">
      <c r="A2" s="2890" t="s">
        <v>1563</v>
      </c>
      <c r="B2" s="2891">
        <f>项目基本情况!D2</f>
        <v>44636</v>
      </c>
      <c r="C2" s="1653"/>
      <c r="D2" s="3407" t="s">
        <v>1564</v>
      </c>
      <c r="E2" s="2602"/>
      <c r="F2" s="2603"/>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4" customFormat="1" ht="15" customHeight="1" thickBot="1">
      <c r="A3" s="2607" t="s">
        <v>1565</v>
      </c>
      <c r="B3" s="2605" t="s">
        <v>3005</v>
      </c>
      <c r="C3" s="1653"/>
      <c r="D3" s="3408"/>
      <c r="E3" s="2606" t="s">
        <v>2991</v>
      </c>
      <c r="F3" s="2603"/>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4" customFormat="1" ht="15" thickBot="1">
      <c r="A4" s="2610" t="s">
        <v>1566</v>
      </c>
      <c r="B4" s="2605" t="s">
        <v>3006</v>
      </c>
      <c r="C4" s="1653"/>
      <c r="D4" s="3408"/>
      <c r="E4" s="2606"/>
      <c r="F4" s="2603"/>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4" customFormat="1" ht="15.75" thickBot="1">
      <c r="A5" s="2607" t="s">
        <v>1567</v>
      </c>
      <c r="B5" s="2608">
        <f>项目基本情况!C12</f>
        <v>259.41000000000003</v>
      </c>
      <c r="C5" s="1653"/>
      <c r="D5" s="2892" t="s">
        <v>1568</v>
      </c>
      <c r="E5" s="2609">
        <v>259.41000000000003</v>
      </c>
      <c r="F5" s="2603"/>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4" customFormat="1" ht="15.75" thickBot="1">
      <c r="A6" s="2610" t="s">
        <v>1569</v>
      </c>
      <c r="B6" s="2611">
        <f>项目基本情况!C13</f>
        <v>0</v>
      </c>
      <c r="C6" s="1653"/>
      <c r="D6" s="2892" t="s">
        <v>1570</v>
      </c>
      <c r="E6" s="2609"/>
      <c r="F6" s="2603"/>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4" customFormat="1" ht="15" thickBot="1">
      <c r="A10" s="2893" t="s">
        <v>1571</v>
      </c>
      <c r="B10" s="2613" t="s">
        <v>2982</v>
      </c>
      <c r="C10" s="1653"/>
      <c r="D10" s="2890" t="s">
        <v>1572</v>
      </c>
      <c r="E10" s="2894" t="s">
        <v>1573</v>
      </c>
      <c r="F10" s="3059" t="s">
        <v>2777</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7" customFormat="1" ht="14.25">
      <c r="A11" s="2895" t="s">
        <v>1574</v>
      </c>
      <c r="B11" s="2615">
        <v>50</v>
      </c>
      <c r="C11" s="1653"/>
      <c r="D11" s="2896" t="s">
        <v>1575</v>
      </c>
      <c r="E11" s="2616">
        <v>160</v>
      </c>
      <c r="F11" s="1280" t="s">
        <v>1576</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4" customFormat="1" ht="15">
      <c r="A12" s="2897" t="s">
        <v>1577</v>
      </c>
      <c r="B12" s="2618">
        <v>56683</v>
      </c>
      <c r="C12" s="1653"/>
      <c r="D12" s="2897" t="s">
        <v>1578</v>
      </c>
      <c r="E12" s="2619">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4" customFormat="1" ht="15" thickBot="1">
      <c r="A13" s="2898" t="s">
        <v>1579</v>
      </c>
      <c r="B13" s="2899">
        <f>IF(B12="",B11-(YEAR($B$2)-B27+B24),ROUNDDOWN(MIN((B12-$B$2)/365,B11),2))</f>
        <v>33</v>
      </c>
      <c r="C13" s="2934"/>
      <c r="D13" s="2900" t="s">
        <v>1580</v>
      </c>
      <c r="E13" s="2620">
        <f>成本法!C10</f>
        <v>51882</v>
      </c>
      <c r="F13" s="1278"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4" customFormat="1" ht="14.25">
      <c r="A14" s="2897" t="s">
        <v>1582</v>
      </c>
      <c r="B14" s="2901">
        <f>IF(ISERROR(ROUND(POWER(1+B15,B11-B13)*(POWER(1+B15,B13)-1)/(POWER(1+B15,B11)-1),3)),0,ROUND(POWER(1+B15,B11-B13)*(POWER(1+B15,B13)-1)/(POWER(1+B15,B11)-1),3))</f>
        <v>0.877</v>
      </c>
      <c r="C14" s="1653"/>
      <c r="D14" s="2902" t="s">
        <v>1583</v>
      </c>
      <c r="E14" s="2621">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4" customFormat="1" ht="14.25">
      <c r="A15" s="2897" t="s">
        <v>1584</v>
      </c>
      <c r="B15" s="2622">
        <v>0.05</v>
      </c>
      <c r="C15" s="2531" t="s">
        <v>2778</v>
      </c>
      <c r="D15" s="2897" t="s">
        <v>1585</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4" customFormat="1" ht="15" thickBot="1">
      <c r="A16" s="2897" t="s">
        <v>1586</v>
      </c>
      <c r="B16" s="2622">
        <v>5.5E-2</v>
      </c>
      <c r="C16" s="2531" t="s">
        <v>2779</v>
      </c>
      <c r="D16" s="2904" t="s">
        <v>1587</v>
      </c>
      <c r="E16" s="2623">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4" customFormat="1" ht="15" thickBot="1">
      <c r="A17" s="2904" t="s">
        <v>2776</v>
      </c>
      <c r="B17" s="3057">
        <v>0.08</v>
      </c>
      <c r="C17" s="2531" t="s">
        <v>2780</v>
      </c>
      <c r="D17" s="2893" t="s">
        <v>1589</v>
      </c>
      <c r="E17" s="2624">
        <v>4000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4" customFormat="1" ht="15" thickBot="1">
      <c r="A18" s="2905" t="s">
        <v>1588</v>
      </c>
      <c r="B18" s="3065">
        <v>0.09</v>
      </c>
      <c r="C18" s="1653"/>
      <c r="D18" s="2906" t="str">
        <f>IF(B26=0,"建安总额","在建建安")</f>
        <v>建安总额</v>
      </c>
      <c r="E18" s="2907">
        <f>ROUND(B5*E17*IF(B26=0,1,E20),0)</f>
        <v>1037640</v>
      </c>
      <c r="F18" s="2625">
        <f>ROUND(E5*E17*IF(B26=0,1,E20),0)</f>
        <v>1037640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4"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4" customFormat="1" ht="15" thickBot="1">
      <c r="A20" s="2908" t="s">
        <v>1590</v>
      </c>
      <c r="B20" s="1279"/>
      <c r="C20" s="1653"/>
      <c r="D20" s="2910" t="str">
        <f>IF(B26=0,"成新率","工程进度")</f>
        <v>成新率</v>
      </c>
      <c r="E20" s="2627">
        <f>ROUND(1-(2022-B27)/60,2)</f>
        <v>0.75</v>
      </c>
      <c r="F20" s="945"/>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4" customFormat="1" ht="14.25">
      <c r="A21" s="2909" t="s">
        <v>1591</v>
      </c>
      <c r="B21" s="2626">
        <v>0</v>
      </c>
      <c r="C21" s="1653"/>
      <c r="D21" s="2897" t="s">
        <v>1593</v>
      </c>
      <c r="E21" s="2629">
        <v>0.03</v>
      </c>
      <c r="F21" s="2640" t="s">
        <v>2786</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4" customFormat="1" ht="14.25">
      <c r="A22" s="2911" t="s">
        <v>1592</v>
      </c>
      <c r="B22" s="2628">
        <v>2</v>
      </c>
      <c r="C22" s="1653"/>
      <c r="D22" s="2897" t="s">
        <v>1595</v>
      </c>
      <c r="E22" s="2632">
        <v>0</v>
      </c>
      <c r="F22" s="2640" t="s">
        <v>2784</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4" customFormat="1" ht="14.25">
      <c r="A23" s="2912" t="s">
        <v>1594</v>
      </c>
      <c r="B23" s="2631">
        <v>2</v>
      </c>
      <c r="C23" s="1653"/>
      <c r="D23" s="2897" t="s">
        <v>1597</v>
      </c>
      <c r="E23" s="2619">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4" customFormat="1" ht="15" thickBot="1">
      <c r="A24" s="2913" t="s">
        <v>1596</v>
      </c>
      <c r="B24" s="2914">
        <f>B21+B22</f>
        <v>2</v>
      </c>
      <c r="C24" s="1653"/>
      <c r="D24" s="2904" t="s">
        <v>1599</v>
      </c>
      <c r="E24" s="2633">
        <v>1.4999999999999999E-2</v>
      </c>
      <c r="F24" s="2640" t="s">
        <v>2787</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1598</v>
      </c>
      <c r="B25" s="2916">
        <f>B21+B23</f>
        <v>2</v>
      </c>
      <c r="C25" s="1653"/>
      <c r="D25" s="2896" t="s">
        <v>1601</v>
      </c>
      <c r="E25" s="2629">
        <v>0.02</v>
      </c>
      <c r="F25" s="2640" t="s">
        <v>2785</v>
      </c>
      <c r="I25" s="2935"/>
    </row>
    <row r="26" spans="1:41" ht="15" thickBot="1">
      <c r="A26" s="2913" t="s">
        <v>1600</v>
      </c>
      <c r="B26" s="2917">
        <f>B22-B23</f>
        <v>0</v>
      </c>
      <c r="D26" s="2897" t="s">
        <v>1603</v>
      </c>
      <c r="E26" s="2632">
        <v>0.02</v>
      </c>
      <c r="F26" s="2640" t="s">
        <v>2785</v>
      </c>
      <c r="G26" s="2936"/>
      <c r="H26" s="2936"/>
      <c r="I26" s="1653"/>
      <c r="J26" s="1653"/>
      <c r="K26" s="1653"/>
      <c r="L26" s="1653"/>
      <c r="M26" s="1653"/>
      <c r="N26" s="1653"/>
    </row>
    <row r="27" spans="1:41" ht="15.75" thickBot="1">
      <c r="A27" s="2918" t="s">
        <v>1602</v>
      </c>
      <c r="B27" s="2634">
        <v>2007</v>
      </c>
      <c r="C27" s="1653">
        <v>2</v>
      </c>
      <c r="D27" s="3124" t="s">
        <v>2984</v>
      </c>
      <c r="E27" s="2919">
        <f ca="1">IF(D27="利息：取LPR",存贷款利率!G1,存贷款利率!G1+F27)</f>
        <v>4.2000000000000003E-2</v>
      </c>
      <c r="F27" s="3125">
        <v>5.0000000000000001E-3</v>
      </c>
      <c r="G27" s="2936"/>
      <c r="H27" s="2936"/>
      <c r="K27" s="1653"/>
      <c r="N27" s="1653"/>
    </row>
    <row r="28" spans="1:41" ht="15" thickBot="1">
      <c r="A28" s="945"/>
      <c r="B28" s="945"/>
      <c r="C28" s="2642">
        <f>B27-C27</f>
        <v>2005</v>
      </c>
      <c r="D28" s="2900" t="s">
        <v>1605</v>
      </c>
      <c r="E28" s="2636">
        <v>0.15</v>
      </c>
      <c r="G28" s="2936"/>
      <c r="H28" s="2936"/>
      <c r="K28" s="1653"/>
      <c r="N28" s="1653"/>
    </row>
    <row r="29" spans="1:41" ht="14.25">
      <c r="A29" s="2920" t="s">
        <v>1604</v>
      </c>
      <c r="B29" s="2635" t="s">
        <v>2983</v>
      </c>
      <c r="C29" s="2642">
        <f>C28+50</f>
        <v>2055</v>
      </c>
      <c r="D29" s="2902" t="s">
        <v>1606</v>
      </c>
      <c r="E29" s="2921">
        <f>E30+E31</f>
        <v>5.6000000000000001E-2</v>
      </c>
      <c r="F29" s="1278"/>
      <c r="G29" s="2936"/>
      <c r="H29" s="2936"/>
      <c r="K29" s="1653"/>
      <c r="N29" s="1653"/>
    </row>
    <row r="30" spans="1:41" ht="14.25">
      <c r="A30" s="2897" t="str">
        <f>IF(B29="租赁期内按合同租金","合同租金","市场租金")</f>
        <v>市场租金</v>
      </c>
      <c r="B30" s="2637">
        <v>4</v>
      </c>
      <c r="D30" s="2904" t="s">
        <v>1608</v>
      </c>
      <c r="E30" s="2638">
        <v>0.05</v>
      </c>
      <c r="F30" s="2923">
        <f>IF(B2&lt;DATE(2016,5,1),0,E30)</f>
        <v>0.05</v>
      </c>
      <c r="G30" s="2936"/>
      <c r="H30" s="2936"/>
      <c r="K30" s="1653"/>
      <c r="N30" s="1653"/>
    </row>
    <row r="31" spans="1:41" ht="14.25">
      <c r="A31" s="2897" t="s">
        <v>1607</v>
      </c>
      <c r="B31" s="2922">
        <f ca="1">存贷款利率!I1</f>
        <v>1.4999999999999999E-2</v>
      </c>
      <c r="D31" s="2904" t="s">
        <v>1610</v>
      </c>
      <c r="E31" s="2924">
        <f>E30*(E32+E33+E34)+E35</f>
        <v>6.000000000000001E-3</v>
      </c>
      <c r="F31" s="1278"/>
      <c r="G31" s="2936"/>
      <c r="H31" s="2936"/>
      <c r="K31" s="1653"/>
      <c r="N31" s="1653"/>
    </row>
    <row r="32" spans="1:41" ht="14.25">
      <c r="A32" s="2897" t="s">
        <v>1609</v>
      </c>
      <c r="B32" s="2622">
        <v>0.03</v>
      </c>
      <c r="D32" s="2904" t="s">
        <v>1612</v>
      </c>
      <c r="E32" s="2639">
        <v>7.0000000000000007E-2</v>
      </c>
      <c r="F32" s="2640" t="s">
        <v>2671</v>
      </c>
      <c r="G32" s="2936"/>
      <c r="H32" s="2936"/>
      <c r="K32" s="1653"/>
      <c r="L32" s="1653"/>
      <c r="M32" s="1653"/>
      <c r="N32" s="1653"/>
    </row>
    <row r="33" spans="1:14" ht="14.25">
      <c r="A33" s="2897" t="s">
        <v>1611</v>
      </c>
      <c r="B33" s="2622">
        <v>0.12</v>
      </c>
      <c r="D33" s="2904" t="s">
        <v>1614</v>
      </c>
      <c r="E33" s="2638">
        <v>0.03</v>
      </c>
      <c r="F33" s="1277" t="s">
        <v>1615</v>
      </c>
      <c r="G33" s="2936"/>
      <c r="H33" s="2936"/>
      <c r="K33" s="1653"/>
      <c r="L33" s="1653"/>
      <c r="M33" s="1653"/>
      <c r="N33" s="1653"/>
    </row>
    <row r="34" spans="1:14" s="2642" customFormat="1" ht="14.25">
      <c r="A34" s="2897" t="s">
        <v>1613</v>
      </c>
      <c r="B34" s="2925">
        <f>收益法!J54</f>
        <v>33</v>
      </c>
      <c r="D34" s="2904" t="s">
        <v>1616</v>
      </c>
      <c r="E34" s="2638">
        <v>0.02</v>
      </c>
      <c r="F34" s="1277" t="s">
        <v>1617</v>
      </c>
      <c r="G34" s="2936"/>
      <c r="H34" s="2936"/>
      <c r="I34" s="1653"/>
      <c r="J34" s="1653"/>
      <c r="K34" s="1653"/>
      <c r="L34" s="1653"/>
      <c r="M34" s="1653"/>
      <c r="N34" s="1653"/>
    </row>
    <row r="35" spans="1:14" s="2642" customFormat="1" ht="15" thickBot="1">
      <c r="A35" s="2904" t="str">
        <f>IF(B29="租赁期内按合同租金","剩余租赁期","——")</f>
        <v>——</v>
      </c>
      <c r="B35" s="2641"/>
      <c r="D35" s="2900" t="s">
        <v>1619</v>
      </c>
      <c r="E35" s="2644">
        <v>0</v>
      </c>
      <c r="F35" s="1280" t="s">
        <v>1620</v>
      </c>
      <c r="G35" s="2936"/>
      <c r="H35" s="2936"/>
      <c r="I35" s="1653"/>
      <c r="J35" s="1653"/>
      <c r="K35" s="1653"/>
      <c r="L35" s="1653"/>
      <c r="M35" s="1653"/>
      <c r="N35" s="1653"/>
    </row>
    <row r="36" spans="1:14" s="2642" customFormat="1" ht="15">
      <c r="A36" s="2926" t="s">
        <v>1618</v>
      </c>
      <c r="B36" s="2927"/>
      <c r="D36" s="2928" t="s">
        <v>1621</v>
      </c>
      <c r="E36" s="2646">
        <v>0.03</v>
      </c>
      <c r="F36" s="1279" t="s">
        <v>1622</v>
      </c>
      <c r="G36" s="2936"/>
      <c r="H36" s="2936"/>
      <c r="I36" s="1653"/>
      <c r="J36" s="1653"/>
      <c r="K36" s="1653"/>
      <c r="L36" s="1653"/>
      <c r="M36" s="1653"/>
      <c r="N36" s="1653"/>
    </row>
    <row r="37" spans="1:14" s="2642" customFormat="1" ht="15" thickBot="1">
      <c r="A37" s="2902" t="str">
        <f>IF(B29="租赁期内按合同租金","租金","——")</f>
        <v>——</v>
      </c>
      <c r="B37" s="2645"/>
      <c r="D37" s="2904" t="s">
        <v>1623</v>
      </c>
      <c r="E37" s="2638">
        <v>5.0000000000000001E-4</v>
      </c>
      <c r="F37" s="1279" t="s">
        <v>1624</v>
      </c>
      <c r="G37" s="2936"/>
      <c r="H37" s="2936"/>
      <c r="I37" s="1653"/>
      <c r="J37" s="1653"/>
      <c r="K37" s="1653"/>
      <c r="L37" s="1653"/>
      <c r="M37" s="1653"/>
      <c r="N37" s="1653"/>
    </row>
    <row r="38" spans="1:14" s="2642" customFormat="1" ht="14.25">
      <c r="A38" s="2897" t="str">
        <f>IF(B29="租赁期内按合同租金","年租金增长率","——")</f>
        <v>——</v>
      </c>
      <c r="B38" s="2622"/>
      <c r="D38" s="2929" t="s">
        <v>1625</v>
      </c>
      <c r="E38" s="2930">
        <v>1.2E-2</v>
      </c>
      <c r="F38" s="1279"/>
      <c r="G38" s="2935"/>
      <c r="H38" s="2935"/>
      <c r="I38" s="2936"/>
      <c r="J38" s="1653"/>
      <c r="K38" s="1653"/>
      <c r="L38" s="1653"/>
      <c r="M38" s="1653"/>
      <c r="N38" s="1653"/>
    </row>
    <row r="39" spans="1:14" s="2642" customFormat="1" ht="15" thickBot="1">
      <c r="A39" s="2897" t="str">
        <f>IF(B29="租赁期内按合同租金","空置率","——")</f>
        <v>——</v>
      </c>
      <c r="B39" s="2622"/>
      <c r="D39" s="2900" t="s">
        <v>1626</v>
      </c>
      <c r="E39" s="2931">
        <v>0.12</v>
      </c>
      <c r="F39" s="1279"/>
      <c r="G39" s="2936"/>
      <c r="H39" s="2936"/>
      <c r="I39" s="1653"/>
      <c r="J39" s="1653"/>
      <c r="K39" s="1653"/>
      <c r="L39" s="1653"/>
      <c r="M39" s="1653"/>
      <c r="N39" s="1653"/>
    </row>
    <row r="40" spans="1:14" ht="14.25">
      <c r="A40" s="2897" t="str">
        <f>IF(B29="租赁期内按合同租金","成新率","——")</f>
        <v>——</v>
      </c>
      <c r="B40" s="2622"/>
      <c r="D40" s="2929" t="s">
        <v>1627</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1629</v>
      </c>
      <c r="E41" s="2648" t="s">
        <v>221</v>
      </c>
      <c r="F41" s="1279" t="s">
        <v>1630</v>
      </c>
      <c r="G41" s="1740" t="s">
        <v>1631</v>
      </c>
      <c r="H41" s="2936"/>
      <c r="I41" s="1653"/>
      <c r="J41" s="1653"/>
      <c r="K41" s="1653"/>
      <c r="L41" s="1653"/>
      <c r="M41" s="1653"/>
      <c r="N41" s="1653"/>
    </row>
    <row r="42" spans="1:14" ht="14.25">
      <c r="A42" s="2896" t="s">
        <v>1628</v>
      </c>
      <c r="B42" s="2647"/>
      <c r="D42" s="2650" t="s">
        <v>1633</v>
      </c>
      <c r="E42" s="2637"/>
      <c r="F42" s="1279">
        <v>30</v>
      </c>
      <c r="G42" s="2936"/>
      <c r="H42" s="2936"/>
      <c r="I42" s="1653"/>
      <c r="J42" s="1653"/>
      <c r="K42" s="1653"/>
      <c r="L42" s="1653"/>
      <c r="M42" s="1653"/>
      <c r="N42" s="1653"/>
    </row>
    <row r="43" spans="1:14" ht="14.25">
      <c r="A43" s="2897" t="s">
        <v>1632</v>
      </c>
      <c r="B43" s="2649">
        <v>365</v>
      </c>
      <c r="D43" s="2650" t="s">
        <v>1635</v>
      </c>
      <c r="E43" s="2637"/>
      <c r="F43" s="1279">
        <v>24</v>
      </c>
      <c r="G43" s="2936"/>
      <c r="H43" s="2936"/>
      <c r="I43" s="1653"/>
      <c r="J43" s="1653"/>
      <c r="K43" s="1653"/>
      <c r="L43" s="1653"/>
      <c r="M43" s="1653"/>
      <c r="N43" s="1653"/>
    </row>
    <row r="44" spans="1:14" ht="14.25">
      <c r="A44" s="2897" t="s">
        <v>1634</v>
      </c>
      <c r="B44" s="2637"/>
      <c r="D44" s="2650" t="s">
        <v>1637</v>
      </c>
      <c r="E44" s="2637"/>
      <c r="F44" s="1279">
        <v>18</v>
      </c>
      <c r="G44" s="2642"/>
      <c r="H44" s="2642"/>
      <c r="I44" s="2936"/>
      <c r="J44" s="1653"/>
      <c r="K44" s="1653"/>
      <c r="L44" s="1653"/>
      <c r="M44" s="1653"/>
      <c r="N44" s="1653"/>
    </row>
    <row r="45" spans="1:14" ht="14.25">
      <c r="A45" s="2897" t="s">
        <v>1636</v>
      </c>
      <c r="B45" s="2651">
        <v>1.4999999999999999E-2</v>
      </c>
      <c r="C45" s="2531" t="s">
        <v>2783</v>
      </c>
      <c r="D45" s="2650" t="s">
        <v>1639</v>
      </c>
      <c r="E45" s="2637"/>
      <c r="F45" s="1279">
        <v>12</v>
      </c>
      <c r="G45" s="2642"/>
      <c r="H45" s="2642"/>
      <c r="M45" s="1653"/>
      <c r="N45" s="1653"/>
    </row>
    <row r="46" spans="1:14" ht="14.25">
      <c r="A46" s="2897" t="s">
        <v>1638</v>
      </c>
      <c r="B46" s="2652">
        <v>1.5E-3</v>
      </c>
      <c r="C46" s="2531" t="s">
        <v>2781</v>
      </c>
      <c r="D46" s="2650" t="s">
        <v>1401</v>
      </c>
      <c r="E46" s="2637"/>
      <c r="F46" s="1279">
        <v>3</v>
      </c>
      <c r="G46" s="2642"/>
      <c r="H46" s="2642"/>
      <c r="M46" s="1653"/>
      <c r="N46" s="1653"/>
    </row>
    <row r="47" spans="1:14" ht="15" thickBot="1">
      <c r="A47" s="2900" t="s">
        <v>1640</v>
      </c>
      <c r="B47" s="2653">
        <v>0.01</v>
      </c>
      <c r="C47" s="2531" t="s">
        <v>2782</v>
      </c>
      <c r="D47" s="2650" t="s">
        <v>1641</v>
      </c>
      <c r="E47" s="2637"/>
      <c r="F47" s="1279">
        <v>1.5</v>
      </c>
      <c r="G47" s="2642"/>
      <c r="H47" s="2642"/>
      <c r="M47" s="1653"/>
      <c r="N47" s="1653"/>
    </row>
    <row r="48" spans="1:14" ht="14.25">
      <c r="A48" s="2642"/>
      <c r="B48" s="2642"/>
      <c r="D48" s="2650" t="s">
        <v>1642</v>
      </c>
      <c r="E48" s="2637"/>
      <c r="F48" s="1279"/>
      <c r="G48" s="2642"/>
      <c r="H48" s="2642"/>
      <c r="M48" s="1653"/>
      <c r="N48" s="1653"/>
    </row>
    <row r="49" spans="1:41" ht="14.25">
      <c r="A49" s="2642"/>
      <c r="B49" s="2642"/>
      <c r="D49" s="2650" t="s">
        <v>1643</v>
      </c>
      <c r="E49" s="2637"/>
      <c r="F49" s="1279"/>
      <c r="G49" s="2642"/>
      <c r="H49" s="2642"/>
      <c r="M49" s="1653"/>
      <c r="N49" s="1653"/>
    </row>
    <row r="50" spans="1:41" ht="14.25">
      <c r="A50" s="2642"/>
      <c r="B50" s="2642"/>
      <c r="D50" s="2650" t="s">
        <v>1644</v>
      </c>
      <c r="E50" s="2637"/>
      <c r="F50" s="1279"/>
      <c r="G50" s="2642"/>
      <c r="H50" s="2642"/>
      <c r="M50" s="1653"/>
      <c r="N50" s="1653"/>
    </row>
    <row r="51" spans="1:41" s="945" customFormat="1" ht="15" thickBot="1">
      <c r="A51" s="2642"/>
      <c r="B51" s="2642"/>
      <c r="C51" s="2642"/>
      <c r="D51" s="2654" t="s">
        <v>1645</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9" t="s">
        <v>1646</v>
      </c>
      <c r="B1" s="3410"/>
      <c r="C1" s="3410"/>
      <c r="D1" s="3410"/>
      <c r="E1" s="3410"/>
      <c r="F1" s="3410"/>
      <c r="G1" s="3410"/>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2788</v>
      </c>
      <c r="D2" s="3069"/>
      <c r="E2" s="3066"/>
      <c r="F2" s="3070"/>
      <c r="G2" s="3068" t="s">
        <v>2789</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2790</v>
      </c>
      <c r="B3" s="3073" t="s">
        <v>2791</v>
      </c>
      <c r="C3" s="3074" t="s">
        <v>2792</v>
      </c>
      <c r="D3" s="3075"/>
      <c r="E3" s="3076" t="s">
        <v>2790</v>
      </c>
      <c r="F3" s="3077" t="s">
        <v>2793</v>
      </c>
      <c r="G3" s="3078" t="s">
        <v>2794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2795</v>
      </c>
      <c r="C4" s="3079" t="s">
        <v>2796</v>
      </c>
      <c r="D4" s="3075"/>
      <c r="E4" s="3080"/>
      <c r="F4" s="3062" t="s">
        <v>2797</v>
      </c>
      <c r="G4" s="3081" t="s">
        <v>2798</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2799</v>
      </c>
      <c r="C5" s="3079" t="s">
        <v>2800</v>
      </c>
      <c r="D5" s="3075"/>
      <c r="E5" s="3080"/>
      <c r="F5" s="3060" t="s">
        <v>2801</v>
      </c>
      <c r="G5" s="3081" t="s">
        <v>2802</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2803</v>
      </c>
      <c r="C6" s="3081" t="s">
        <v>2798</v>
      </c>
      <c r="D6" s="3075"/>
      <c r="E6" s="3080"/>
      <c r="F6" s="3060" t="s">
        <v>2804</v>
      </c>
      <c r="G6" s="3081" t="s">
        <v>2805</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2801</v>
      </c>
      <c r="C7" s="3081" t="s">
        <v>2802</v>
      </c>
      <c r="D7" s="2949"/>
      <c r="E7" s="3082"/>
      <c r="F7" s="3083" t="s">
        <v>2806</v>
      </c>
      <c r="G7" s="3084" t="s">
        <v>2807</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2804</v>
      </c>
      <c r="C8" s="3081" t="s">
        <v>2805</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2808</v>
      </c>
      <c r="C9" s="3079" t="s">
        <v>2809</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2810</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1" customFormat="1" ht="13.5" thickBot="1">
      <c r="A14" s="3091"/>
      <c r="B14" s="3091"/>
      <c r="C14" s="3092" t="s">
        <v>2811</v>
      </c>
      <c r="D14" s="3075"/>
      <c r="E14" s="3093"/>
      <c r="F14" s="3093"/>
      <c r="G14" s="3068" t="s">
        <v>2812</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2813</v>
      </c>
      <c r="B15" s="3098" t="s">
        <v>2791</v>
      </c>
      <c r="C15" s="3099" t="str">
        <f>C3</f>
        <v>估价对象周边居住用地比例、居住小区规模和社区发展完善程度，综合评价居住社区成熟度一般</v>
      </c>
      <c r="D15" s="3075"/>
      <c r="E15" s="3100" t="s">
        <v>2814</v>
      </c>
      <c r="F15" s="3098" t="s">
        <v>2815</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2" t="s">
        <v>2795</v>
      </c>
      <c r="C16" s="3103" t="str">
        <f>C4</f>
        <v>估价对象位于XX商圈，周边商业氛围成熟，人流量大，商业繁华度好</v>
      </c>
      <c r="D16" s="3075"/>
      <c r="E16" s="3104"/>
      <c r="F16" s="3061" t="s">
        <v>2797</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2" t="s">
        <v>2799</v>
      </c>
      <c r="C17" s="3103" t="str">
        <f>C5</f>
        <v>估价对象位于XX商圈，周边办公楼项目较多，入驻率高，办公集聚程度较好</v>
      </c>
      <c r="D17" s="2949"/>
      <c r="E17" s="3104"/>
      <c r="F17" s="3061" t="s">
        <v>2816</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2803</v>
      </c>
      <c r="C18" s="3105" t="str">
        <f>C6</f>
        <v>估价对象周边道路状况、公共交通通达情况、停车便捷程度，综合评价交通便捷度较好</v>
      </c>
      <c r="D18" s="2949"/>
      <c r="E18" s="3104"/>
      <c r="F18" s="3061" t="s">
        <v>2806</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2817</v>
      </c>
      <c r="C19" s="3106"/>
      <c r="D19" s="3075"/>
      <c r="E19" s="3104"/>
      <c r="F19" s="3060" t="s">
        <v>2801</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2818</v>
      </c>
      <c r="C20" s="3103" t="str">
        <f>C9</f>
        <v>区域自然环境：；人文环境；综合评价环境状况一般</v>
      </c>
      <c r="D20" s="2949"/>
      <c r="E20" s="3104"/>
      <c r="F20" s="3060" t="s">
        <v>2804</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2801</v>
      </c>
      <c r="C21" s="3105" t="str">
        <f>C7</f>
        <v>估价对象所在区域公共配套设施齐备情况</v>
      </c>
      <c r="D21" s="3075"/>
      <c r="E21" s="3104"/>
      <c r="F21" s="3061" t="s">
        <v>2819</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2804</v>
      </c>
      <c r="C22" s="3105" t="str">
        <f>C8</f>
        <v>估价对象所在区域基础设施水平</v>
      </c>
      <c r="D22" s="3075"/>
      <c r="E22" s="3104"/>
      <c r="F22" s="3061" t="s">
        <v>2810</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2819</v>
      </c>
      <c r="C23" s="3107"/>
      <c r="D23" s="3094"/>
      <c r="E23" s="3109"/>
      <c r="F23" s="3063" t="s">
        <v>2820</v>
      </c>
      <c r="G23" s="3110"/>
      <c r="H23" s="3094"/>
      <c r="I23" s="3095"/>
      <c r="J23" s="3094"/>
      <c r="K23" s="3094"/>
      <c r="L23" s="3095"/>
      <c r="M23" s="3094"/>
      <c r="N23" s="3094"/>
      <c r="O23" s="3095"/>
      <c r="P23" s="3094"/>
      <c r="Q23" s="3094"/>
      <c r="R23" s="3096"/>
    </row>
    <row r="24" spans="1:29" s="3071" customFormat="1" ht="13.5" thickBot="1">
      <c r="A24" s="3111"/>
      <c r="B24" s="3063" t="s">
        <v>2821</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17" sqref="I17"/>
    </sheetView>
  </sheetViews>
  <sheetFormatPr defaultColWidth="14.625" defaultRowHeight="13.5"/>
  <cols>
    <col min="1" max="1" width="24.375" style="2551" customWidth="1"/>
    <col min="2" max="16384" width="14.625" style="2551"/>
  </cols>
  <sheetData>
    <row r="1" spans="1:9" ht="16.5">
      <c r="A1" s="2549" t="s">
        <v>1155</v>
      </c>
      <c r="B1" s="2549">
        <f>SUM(B14:B23)</f>
        <v>259.41000000000003</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44636</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884</v>
      </c>
      <c r="C5" s="2549">
        <f ca="1">ROUND(B5*10000/$B$1,0)</f>
        <v>34077</v>
      </c>
      <c r="D5" s="2549" t="e">
        <f ca="1">ROUND(B5*10000/$B$2,0)</f>
        <v>#DIV/0!</v>
      </c>
      <c r="E5" s="1602"/>
      <c r="F5" s="2550"/>
      <c r="G5" s="2550"/>
    </row>
    <row r="6" spans="1:9" ht="16.5">
      <c r="A6" s="2549" t="s">
        <v>1163</v>
      </c>
      <c r="B6" s="2549">
        <f ca="1">SUM(G14:G23)</f>
        <v>884</v>
      </c>
      <c r="C6" s="2549">
        <f t="shared" ref="C6:C8" ca="1" si="0">ROUND(B6*10000/$B$1,0)</f>
        <v>34077</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1183</v>
      </c>
      <c r="B11" s="2553"/>
      <c r="C11" s="1602"/>
      <c r="D11" s="1602"/>
      <c r="E11" s="1602"/>
      <c r="F11" s="2550"/>
      <c r="G11" s="2550"/>
    </row>
    <row r="12" spans="1:9" ht="16.5">
      <c r="A12" s="1602"/>
      <c r="B12" s="1602"/>
      <c r="C12" s="1602"/>
      <c r="D12" s="1602"/>
      <c r="E12" s="1602"/>
      <c r="F12" s="2550"/>
      <c r="G12" s="2550"/>
    </row>
    <row r="13" spans="1:9" ht="33">
      <c r="A13" s="2554" t="s">
        <v>1182</v>
      </c>
      <c r="B13" s="2555" t="s">
        <v>1155</v>
      </c>
      <c r="C13" s="2555" t="s">
        <v>1156</v>
      </c>
      <c r="D13" s="2555" t="s">
        <v>1168</v>
      </c>
      <c r="E13" s="2549" t="s">
        <v>1160</v>
      </c>
      <c r="F13" s="2549" t="s">
        <v>1161</v>
      </c>
      <c r="G13" s="2555" t="s">
        <v>1169</v>
      </c>
      <c r="H13" s="2555" t="s">
        <v>1170</v>
      </c>
      <c r="I13" s="2555" t="s">
        <v>1171</v>
      </c>
    </row>
    <row r="14" spans="1:9" ht="16.5">
      <c r="A14" s="2854" t="s">
        <v>1181</v>
      </c>
      <c r="B14" s="2884">
        <f>项目基本情况!C12</f>
        <v>259.41000000000003</v>
      </c>
      <c r="C14" s="2884">
        <f>项目基本情况!C13</f>
        <v>0</v>
      </c>
      <c r="D14" s="2884">
        <f ca="1">典型户型修正!T27</f>
        <v>884</v>
      </c>
      <c r="E14" s="2884">
        <f ca="1">ROUND(D14*10000/B14,0)</f>
        <v>34077</v>
      </c>
      <c r="F14" s="2884" t="e">
        <f ca="1">ROUND(D14*10000/C14,0)</f>
        <v>#DIV/0!</v>
      </c>
      <c r="G14" s="2884">
        <f ca="1">D14</f>
        <v>884</v>
      </c>
      <c r="H14" s="2884" t="s">
        <v>3018</v>
      </c>
      <c r="I14" s="2884" t="s">
        <v>3018</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I34" sqref="I34"/>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9" customWidth="1"/>
    <col min="13" max="13" width="12.625" style="659"/>
    <col min="14" max="14" width="14.125" style="659" bestFit="1" customWidth="1"/>
    <col min="15" max="27" width="12.625" style="659"/>
    <col min="28" max="36" width="12.625" style="1276"/>
    <col min="37" max="16384" width="12.625" style="1430"/>
  </cols>
  <sheetData>
    <row r="1" spans="1:15" ht="21.75" customHeight="1">
      <c r="A1" s="1428" t="s">
        <v>1653</v>
      </c>
      <c r="B1" s="1429"/>
      <c r="C1" s="1429"/>
      <c r="D1" s="1429"/>
      <c r="E1" s="1429"/>
      <c r="F1" s="1429"/>
      <c r="G1" s="1429"/>
      <c r="H1" s="1429"/>
      <c r="I1" s="1429"/>
    </row>
    <row r="2" spans="1:15" ht="21.75" customHeight="1">
      <c r="A2" s="3466" t="str">
        <f>项目基本情况!B1</f>
        <v>北京市房地产抵押价值预评估</v>
      </c>
      <c r="B2" s="3466"/>
      <c r="C2" s="3466"/>
      <c r="D2" s="3466"/>
      <c r="E2" s="3466"/>
      <c r="F2" s="3466"/>
      <c r="G2" s="3466"/>
      <c r="H2" s="3466"/>
      <c r="I2" s="3466"/>
      <c r="J2" s="2811"/>
    </row>
    <row r="3" spans="1:15" ht="12.75">
      <c r="A3" s="3469" t="s">
        <v>1654</v>
      </c>
      <c r="B3" s="3470"/>
      <c r="C3" s="3470"/>
      <c r="D3" s="3470"/>
      <c r="E3" s="3470"/>
      <c r="F3" s="3470"/>
      <c r="G3" s="3470"/>
      <c r="H3" s="3470"/>
      <c r="I3" s="3470"/>
      <c r="J3" s="2812"/>
    </row>
    <row r="4" spans="1:15" ht="14.25">
      <c r="A4" s="2680" t="s">
        <v>1655</v>
      </c>
      <c r="B4" s="2680" t="s">
        <v>1656</v>
      </c>
      <c r="C4" s="2681" t="s">
        <v>2985</v>
      </c>
      <c r="D4" s="2681" t="s">
        <v>2986</v>
      </c>
      <c r="E4" s="3415" t="s">
        <v>1657</v>
      </c>
      <c r="F4" s="3453"/>
      <c r="G4" s="3453"/>
      <c r="H4" s="3453"/>
      <c r="I4" s="3454"/>
      <c r="J4" s="2813"/>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46" t="s">
        <v>1658</v>
      </c>
      <c r="B5" s="3446">
        <v>25</v>
      </c>
      <c r="C5" s="3455"/>
      <c r="D5" s="3468"/>
      <c r="E5" s="12" t="s">
        <v>1659</v>
      </c>
      <c r="F5" s="2057"/>
      <c r="G5" s="2057"/>
      <c r="H5" s="2057"/>
      <c r="I5" s="2052"/>
      <c r="J5" s="2813"/>
    </row>
    <row r="6" spans="1:15" ht="12.75">
      <c r="A6" s="3446"/>
      <c r="B6" s="3446"/>
      <c r="C6" s="3471"/>
      <c r="D6" s="3468"/>
      <c r="E6" s="12" t="s">
        <v>1660</v>
      </c>
      <c r="F6" s="2057"/>
      <c r="G6" s="2057"/>
      <c r="H6" s="2057"/>
      <c r="I6" s="2052"/>
      <c r="J6" s="2813"/>
    </row>
    <row r="7" spans="1:15" ht="12.75">
      <c r="A7" s="3446"/>
      <c r="B7" s="3446"/>
      <c r="C7" s="3456"/>
      <c r="D7" s="3468"/>
      <c r="E7" s="12" t="s">
        <v>1661</v>
      </c>
      <c r="F7" s="2057"/>
      <c r="G7" s="2057"/>
      <c r="H7" s="2057"/>
      <c r="I7" s="2052"/>
      <c r="J7" s="2813"/>
    </row>
    <row r="8" spans="1:15" ht="12.75">
      <c r="A8" s="3446" t="s">
        <v>1662</v>
      </c>
      <c r="B8" s="3446">
        <v>15</v>
      </c>
      <c r="C8" s="3455"/>
      <c r="D8" s="3468"/>
      <c r="E8" s="12" t="s">
        <v>1663</v>
      </c>
      <c r="F8" s="2057"/>
      <c r="G8" s="2057"/>
      <c r="H8" s="2057"/>
      <c r="I8" s="2052"/>
      <c r="J8" s="2813"/>
    </row>
    <row r="9" spans="1:15" ht="12.75">
      <c r="A9" s="3446"/>
      <c r="B9" s="3446"/>
      <c r="C9" s="3456"/>
      <c r="D9" s="3468"/>
      <c r="E9" s="12" t="s">
        <v>1664</v>
      </c>
      <c r="F9" s="2057"/>
      <c r="G9" s="2057"/>
      <c r="H9" s="2057"/>
      <c r="I9" s="2052"/>
      <c r="J9" s="2813"/>
    </row>
    <row r="10" spans="1:15" ht="12.75">
      <c r="A10" s="3446" t="s">
        <v>1665</v>
      </c>
      <c r="B10" s="3446">
        <v>15</v>
      </c>
      <c r="C10" s="3455"/>
      <c r="D10" s="3468"/>
      <c r="E10" s="12" t="s">
        <v>1666</v>
      </c>
      <c r="F10" s="2057"/>
      <c r="G10" s="2057"/>
      <c r="H10" s="2057"/>
      <c r="I10" s="2052"/>
      <c r="J10" s="2813"/>
    </row>
    <row r="11" spans="1:15" ht="12.75">
      <c r="A11" s="3446"/>
      <c r="B11" s="3446"/>
      <c r="C11" s="3456"/>
      <c r="D11" s="3468"/>
      <c r="E11" s="12" t="s">
        <v>1667</v>
      </c>
      <c r="F11" s="2057"/>
      <c r="G11" s="2057"/>
      <c r="H11" s="2057"/>
      <c r="I11" s="2052"/>
      <c r="J11" s="2813"/>
    </row>
    <row r="12" spans="1:15" ht="12.75">
      <c r="A12" s="3446" t="s">
        <v>1668</v>
      </c>
      <c r="B12" s="3446">
        <v>15</v>
      </c>
      <c r="C12" s="3455"/>
      <c r="D12" s="3468"/>
      <c r="E12" s="12" t="s">
        <v>1669</v>
      </c>
      <c r="F12" s="2057"/>
      <c r="G12" s="2057"/>
      <c r="H12" s="2057"/>
      <c r="I12" s="2052"/>
      <c r="J12" s="2813"/>
    </row>
    <row r="13" spans="1:15" ht="12.75">
      <c r="A13" s="3446"/>
      <c r="B13" s="3446"/>
      <c r="C13" s="3456"/>
      <c r="D13" s="3468"/>
      <c r="E13" s="12" t="s">
        <v>1670</v>
      </c>
      <c r="F13" s="2057"/>
      <c r="G13" s="2057"/>
      <c r="H13" s="2057"/>
      <c r="I13" s="2052"/>
      <c r="J13" s="2813"/>
    </row>
    <row r="14" spans="1:15" ht="12.75">
      <c r="A14" s="3446" t="s">
        <v>1671</v>
      </c>
      <c r="B14" s="3446">
        <v>30</v>
      </c>
      <c r="C14" s="3455">
        <v>3</v>
      </c>
      <c r="D14" s="3468">
        <v>7</v>
      </c>
      <c r="E14" s="12" t="s">
        <v>1672</v>
      </c>
      <c r="F14" s="2057"/>
      <c r="G14" s="2057"/>
      <c r="H14" s="2057"/>
      <c r="I14" s="2052"/>
      <c r="J14" s="2813"/>
    </row>
    <row r="15" spans="1:15" ht="12.75">
      <c r="A15" s="3446"/>
      <c r="B15" s="3446"/>
      <c r="C15" s="3471"/>
      <c r="D15" s="3468"/>
      <c r="E15" s="12" t="s">
        <v>1673</v>
      </c>
      <c r="F15" s="2057"/>
      <c r="G15" s="2057"/>
      <c r="H15" s="2057"/>
      <c r="I15" s="2052"/>
      <c r="J15" s="2813"/>
    </row>
    <row r="16" spans="1:15" ht="12.75">
      <c r="A16" s="3446"/>
      <c r="B16" s="3446"/>
      <c r="C16" s="3456"/>
      <c r="D16" s="3468"/>
      <c r="E16" s="12" t="s">
        <v>1674</v>
      </c>
      <c r="F16" s="2057"/>
      <c r="G16" s="2057"/>
      <c r="H16" s="2057"/>
      <c r="I16" s="2052"/>
      <c r="J16" s="2813"/>
    </row>
    <row r="17" spans="1:36" ht="15">
      <c r="A17" s="2682" t="s">
        <v>1675</v>
      </c>
      <c r="B17" s="2062"/>
      <c r="C17" s="2683">
        <f>SUM(C5:C16)</f>
        <v>3</v>
      </c>
      <c r="D17" s="2683">
        <f>SUM(D5:D16)</f>
        <v>7</v>
      </c>
      <c r="E17" s="2531"/>
      <c r="F17" s="2531"/>
      <c r="G17" s="2531"/>
      <c r="H17" s="2531"/>
      <c r="I17" s="2531"/>
      <c r="J17" s="2814"/>
    </row>
    <row r="18" spans="1:36" ht="30" customHeight="1" thickBot="1">
      <c r="A18" s="2684" t="s">
        <v>1676</v>
      </c>
      <c r="B18" s="2685"/>
      <c r="C18" s="2686">
        <f>ROUND(C17/SUM(C17:D17),2)</f>
        <v>0.3</v>
      </c>
      <c r="D18" s="2686">
        <f>1-C18</f>
        <v>0.7</v>
      </c>
      <c r="E18" s="3464" t="s">
        <v>2756</v>
      </c>
      <c r="F18" s="3465"/>
      <c r="G18" s="3465"/>
      <c r="H18" s="3465"/>
      <c r="I18" s="3465"/>
      <c r="J18" s="2814"/>
    </row>
    <row r="19" spans="1:36" ht="15">
      <c r="A19" s="2687" t="s">
        <v>1677</v>
      </c>
      <c r="B19" s="2688" t="s">
        <v>1678</v>
      </c>
      <c r="C19" s="2689">
        <f ca="1">SUMIF(INDIRECT("'"&amp;C4&amp;"'"&amp;"!A:A"),结果表!B19,INDIRECT("'"&amp;C4&amp;"'"&amp;"!B:B"))</f>
        <v>14970551</v>
      </c>
      <c r="D19" s="2690">
        <f ca="1">SUMIF(INDIRECT("'"&amp;D4&amp;"'"&amp;"!A:A"),结果表!B19,INDIRECT("'"&amp;D4&amp;"'"&amp;"!B:B"))</f>
        <v>6211867</v>
      </c>
      <c r="E19" s="2687" t="s">
        <v>1679</v>
      </c>
      <c r="F19" s="2688" t="s">
        <v>1678</v>
      </c>
      <c r="G19" s="2691">
        <f ca="1">ROUND(C19*$C$18+D19*$D$18,0)</f>
        <v>8839472</v>
      </c>
      <c r="H19" s="2692" t="str">
        <f>'数据-取费表'!B3</f>
        <v>元</v>
      </c>
      <c r="I19" s="2740"/>
      <c r="J19" s="2815"/>
      <c r="K19" s="659" t="s">
        <v>3007</v>
      </c>
    </row>
    <row r="20" spans="1:36" ht="15">
      <c r="A20" s="2693"/>
      <c r="B20" s="1662" t="s">
        <v>1680</v>
      </c>
      <c r="C20" s="1887">
        <f ca="1">SUMIF(INDIRECT("'"&amp;C4&amp;"'"&amp;"!A:A"),结果表!B20,INDIRECT("'"&amp;C4&amp;"'"&amp;"!B:B"))</f>
        <v>57710</v>
      </c>
      <c r="D20" s="1890">
        <f ca="1">SUMIF(INDIRECT("'"&amp;D4&amp;"'"&amp;"!A:A"),结果表!B20,INDIRECT("'"&amp;D4&amp;"'"&amp;"!B:B"))</f>
        <v>23946</v>
      </c>
      <c r="E20" s="2693"/>
      <c r="F20" s="1662" t="s">
        <v>1680</v>
      </c>
      <c r="G20" s="2061">
        <f ca="1">ROUND(C20*$C$18+D20*$D$18,0)</f>
        <v>34075</v>
      </c>
      <c r="H20" s="2694" t="s">
        <v>1681</v>
      </c>
      <c r="I20" s="2531"/>
      <c r="J20" s="2814"/>
    </row>
    <row r="21" spans="1:36" ht="15" customHeight="1" thickBot="1">
      <c r="A21" s="2695"/>
      <c r="B21" s="2696"/>
      <c r="C21" s="2696"/>
      <c r="D21" s="2697"/>
      <c r="E21" s="2695"/>
      <c r="F21" s="2696"/>
      <c r="G21" s="2698"/>
      <c r="H21" s="2699"/>
      <c r="I21" s="2531"/>
      <c r="J21" s="2814"/>
    </row>
    <row r="22" spans="1:36" ht="15" thickBot="1">
      <c r="A22" s="2700" t="s">
        <v>1682</v>
      </c>
      <c r="B22" s="2701"/>
      <c r="C22" s="2614"/>
      <c r="D22" s="2702">
        <f ca="1">IF(C19&lt;D19,D19/C19-1,C19/D19-1)</f>
        <v>1.409992197192889</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7" t="s">
        <v>1683</v>
      </c>
      <c r="B24" s="2688" t="s">
        <v>1678</v>
      </c>
      <c r="C24" s="2691">
        <f>D30</f>
        <v>0</v>
      </c>
      <c r="D24" s="2643"/>
      <c r="E24" s="945"/>
      <c r="F24" s="945"/>
      <c r="G24" s="945"/>
      <c r="H24" s="945"/>
      <c r="I24" s="945"/>
      <c r="J24" s="2814"/>
    </row>
    <row r="25" spans="1:36" ht="21.75" customHeight="1">
      <c r="A25" s="3474"/>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1688</v>
      </c>
      <c r="B30" s="2742"/>
      <c r="C30" s="2742"/>
      <c r="D30" s="2742"/>
      <c r="E30" s="2709" t="s">
        <v>2760</v>
      </c>
      <c r="F30" s="2531"/>
      <c r="G30" s="2531"/>
      <c r="H30" s="2531"/>
      <c r="I30" s="2531"/>
      <c r="J30" s="2814"/>
    </row>
    <row r="31" spans="1:36" s="2807" customFormat="1" ht="26.45"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楼面单价</v>
      </c>
      <c r="C32" s="2797">
        <f ca="1">IF(B32="总价",G19-C24,G20-C25)</f>
        <v>34075</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取值（单价）</v>
      </c>
      <c r="G33" s="945"/>
      <c r="H33" s="945"/>
      <c r="I33" s="945"/>
      <c r="J33" s="2814"/>
    </row>
    <row r="34" spans="1:17" ht="15">
      <c r="A34" s="1434"/>
      <c r="B34" s="2715" t="s">
        <v>1692</v>
      </c>
      <c r="C34" s="2716">
        <f ca="1">IF(D33="自定义",F34,C32-C35)</f>
        <v>27907</v>
      </c>
      <c r="D34" s="2717">
        <f ca="1">IF(D33="自定义",ROUND(C34/C32,3),1-D35)</f>
        <v>0.81899999999999995</v>
      </c>
      <c r="E34" s="1403" t="s">
        <v>1693</v>
      </c>
      <c r="F34" s="2718">
        <v>2000</v>
      </c>
      <c r="G34" s="945"/>
      <c r="H34" s="945"/>
      <c r="I34" s="945"/>
      <c r="J34" s="2814"/>
    </row>
    <row r="35" spans="1:17" ht="15.75" thickBot="1">
      <c r="A35" s="1435"/>
      <c r="B35" s="2719" t="s">
        <v>1694</v>
      </c>
      <c r="C35" s="2720">
        <f ca="1">IF(D33="自定义",F35,ROUND(C32*D35,0))</f>
        <v>6168</v>
      </c>
      <c r="D35" s="2721">
        <f ca="1">IF(D33="自定义",ROUND(C35/C32,3),IF(D33="成本法成本比率",成本法!C56,IF(D33="收益法收益比率",收益法!J38,收益法!J41)))</f>
        <v>0.18099999999999999</v>
      </c>
      <c r="E35" s="2722" t="s">
        <v>1695</v>
      </c>
      <c r="F35" s="2723">
        <v>4460</v>
      </c>
      <c r="G35" s="945"/>
      <c r="H35" s="945"/>
      <c r="I35" s="945"/>
      <c r="J35" s="2814"/>
    </row>
    <row r="36" spans="1:17" ht="15.75" thickBot="1">
      <c r="A36" s="3457" t="s">
        <v>1696</v>
      </c>
      <c r="B36" s="1436" t="s">
        <v>1697</v>
      </c>
      <c r="C36" s="2724">
        <v>0</v>
      </c>
      <c r="D36" s="2725"/>
      <c r="E36" s="1648"/>
      <c r="F36" s="1648"/>
      <c r="G36" s="945"/>
      <c r="H36" s="945"/>
      <c r="I36" s="945"/>
      <c r="J36" s="2814"/>
    </row>
    <row r="37" spans="1:17" ht="15.75" thickBot="1">
      <c r="A37" s="3458"/>
      <c r="B37" s="2062" t="s">
        <v>1698</v>
      </c>
      <c r="C37" s="2726">
        <v>0</v>
      </c>
      <c r="D37" s="1279"/>
      <c r="E37" s="1279"/>
      <c r="F37" s="1648"/>
      <c r="G37" s="1279"/>
      <c r="H37" s="1279"/>
      <c r="I37" s="1279"/>
      <c r="J37" s="2818"/>
    </row>
    <row r="38" spans="1:17" ht="15.75" thickBot="1">
      <c r="A38" s="3459"/>
      <c r="B38" s="1437" t="s">
        <v>1699</v>
      </c>
      <c r="C38" s="2727">
        <v>0</v>
      </c>
      <c r="D38" s="2728" t="s">
        <v>1700</v>
      </c>
      <c r="E38" s="1279"/>
      <c r="F38" s="1648"/>
      <c r="G38" s="1279"/>
      <c r="H38" s="1279"/>
      <c r="I38" s="1279"/>
      <c r="J38" s="2818"/>
    </row>
    <row r="39" spans="1:17" ht="15">
      <c r="A39" s="2693" t="s">
        <v>1701</v>
      </c>
      <c r="B39" s="2729" t="s">
        <v>1685</v>
      </c>
      <c r="C39" s="2730" t="s">
        <v>1686</v>
      </c>
      <c r="D39" s="2730" t="s">
        <v>1702</v>
      </c>
      <c r="E39" s="2731" t="s">
        <v>1687</v>
      </c>
      <c r="F39" s="1648"/>
      <c r="G39" s="1279"/>
      <c r="H39" s="1279"/>
      <c r="I39" s="1279"/>
      <c r="J39" s="2818"/>
    </row>
    <row r="40" spans="1:17" ht="14.25">
      <c r="A40" s="2732" t="s">
        <v>1703</v>
      </c>
      <c r="B40" s="2733"/>
      <c r="C40" s="2734"/>
      <c r="D40" s="2734"/>
      <c r="E40" s="2735"/>
      <c r="F40" s="1648"/>
      <c r="G40" s="1279"/>
      <c r="H40" s="1279"/>
      <c r="I40" s="1279"/>
      <c r="J40" s="2818"/>
    </row>
    <row r="41" spans="1:17" ht="14.25">
      <c r="A41" s="2732" t="s">
        <v>1704</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1705</v>
      </c>
      <c r="B44" s="1440"/>
      <c r="C44" s="1440"/>
      <c r="D44" s="1441"/>
      <c r="E44" s="1441"/>
      <c r="F44" s="1442"/>
      <c r="G44" s="1442"/>
      <c r="H44" s="1442"/>
      <c r="I44" s="2808" t="s">
        <v>2755</v>
      </c>
      <c r="J44" s="2820"/>
      <c r="K44" s="1443" t="s">
        <v>1706</v>
      </c>
      <c r="L44" s="1444"/>
      <c r="M44" s="1444"/>
      <c r="N44" s="1444"/>
      <c r="O44" s="1444"/>
      <c r="P44" s="1444"/>
      <c r="Q44" s="1276"/>
    </row>
    <row r="45" spans="1:17" ht="14.25" customHeight="1" thickBot="1">
      <c r="A45" s="3461" t="s">
        <v>1707</v>
      </c>
      <c r="B45" s="3462"/>
      <c r="C45" s="3421"/>
      <c r="D45" s="246">
        <f ca="1">ROUND(I102*F45,0)</f>
        <v>8839396</v>
      </c>
      <c r="E45" s="1510" t="s">
        <v>1708</v>
      </c>
      <c r="F45" s="2529">
        <v>1</v>
      </c>
      <c r="G45" s="2530" t="s">
        <v>1709</v>
      </c>
      <c r="H45" s="945"/>
      <c r="I45" s="945"/>
      <c r="J45" s="2814"/>
      <c r="K45" s="3515" t="s">
        <v>2685</v>
      </c>
      <c r="L45" s="3515"/>
      <c r="M45" s="3515"/>
      <c r="N45" s="3515"/>
      <c r="O45" s="3515"/>
      <c r="P45" s="3515"/>
      <c r="Q45" s="1276"/>
    </row>
    <row r="46" spans="1:17" ht="14.25" customHeight="1">
      <c r="A46" s="3450" t="s">
        <v>1711</v>
      </c>
      <c r="B46" s="3451"/>
      <c r="C46" s="3451"/>
      <c r="D46" s="3451"/>
      <c r="E46" s="3451"/>
      <c r="F46" s="3451"/>
      <c r="G46" s="3452"/>
      <c r="H46" s="2946"/>
      <c r="I46" s="945"/>
      <c r="J46" s="2814"/>
      <c r="K46" s="2504">
        <v>1</v>
      </c>
      <c r="L46" s="3516" t="s">
        <v>2686</v>
      </c>
      <c r="M46" s="3516"/>
      <c r="N46" s="3517" t="str">
        <f>项目基本情况!B1</f>
        <v>北京市房地产抵押价值预评估</v>
      </c>
      <c r="O46" s="3517"/>
      <c r="P46" s="3517"/>
      <c r="Q46" s="1276"/>
    </row>
    <row r="47" spans="1:17" ht="12" customHeight="1">
      <c r="A47" s="38" t="s">
        <v>1713</v>
      </c>
      <c r="B47" s="39"/>
      <c r="C47" s="40"/>
      <c r="D47" s="1068" t="s">
        <v>1714</v>
      </c>
      <c r="E47" s="235" t="s">
        <v>1715</v>
      </c>
      <c r="F47" s="41" t="s">
        <v>1716</v>
      </c>
      <c r="G47" s="2532" t="s">
        <v>1717</v>
      </c>
      <c r="H47" s="2946"/>
      <c r="I47" s="945"/>
      <c r="J47" s="2814"/>
      <c r="K47" s="2504">
        <v>2</v>
      </c>
      <c r="L47" s="3516" t="s">
        <v>2687</v>
      </c>
      <c r="M47" s="3516"/>
      <c r="N47" s="3518">
        <f>'数据-取费表'!B2</f>
        <v>44636</v>
      </c>
      <c r="O47" s="3518"/>
      <c r="P47" s="3518"/>
      <c r="Q47" s="1276"/>
    </row>
    <row r="48" spans="1:17" ht="25.5">
      <c r="A48" s="3460" t="s">
        <v>1719</v>
      </c>
      <c r="B48" s="3414"/>
      <c r="C48" s="3414"/>
      <c r="D48" s="12">
        <f ca="1">IF(H48="情况1",0,IF(H48="情况2",D52,IF(H48="情况3",D53,IF(H48="情况4",D54))))</f>
        <v>471434</v>
      </c>
      <c r="E48" s="2060" t="str">
        <f>IF(H48="情况4","(销售额-原购置价)×税（费）率","销售额×税（费）率")</f>
        <v>销售额×税（费）率</v>
      </c>
      <c r="F48" s="2533">
        <f>IF(H48="情况1","免征",'数据-取费表'!E29)</f>
        <v>5.6000000000000001E-2</v>
      </c>
      <c r="G48" s="2534" t="s">
        <v>1720</v>
      </c>
      <c r="H48" s="2535" t="s">
        <v>1721</v>
      </c>
      <c r="I48" s="2946"/>
      <c r="J48" s="2821"/>
      <c r="K48" s="2504">
        <v>3</v>
      </c>
      <c r="L48" s="3516" t="s">
        <v>2688</v>
      </c>
      <c r="M48" s="3516"/>
      <c r="N48" s="3517">
        <f ca="1">I102</f>
        <v>8839396</v>
      </c>
      <c r="O48" s="3517"/>
      <c r="P48" s="3517"/>
      <c r="Q48" s="1276"/>
    </row>
    <row r="49" spans="1:17" ht="25.5" customHeight="1">
      <c r="A49" s="2059" t="s">
        <v>1723</v>
      </c>
      <c r="B49" s="3453" t="s">
        <v>1724</v>
      </c>
      <c r="C49" s="3453"/>
      <c r="D49" s="2536">
        <v>0</v>
      </c>
      <c r="E49" s="261" t="s">
        <v>1725</v>
      </c>
      <c r="F49" s="2537" t="s">
        <v>48</v>
      </c>
      <c r="G49" s="3510"/>
      <c r="H49" s="2538" t="s">
        <v>2762</v>
      </c>
      <c r="I49" s="2539"/>
      <c r="J49" s="2822"/>
      <c r="K49" s="2504">
        <v>4</v>
      </c>
      <c r="L49" s="3516" t="str">
        <f>IF(项目基本情况!F5="房地产抵押价值","房地产抵押价值","抵押担保权已注销时的房地产抵押价值")</f>
        <v>房地产抵押价值</v>
      </c>
      <c r="M49" s="3516"/>
      <c r="N49" s="3517">
        <f ca="1">IF(项目基本情况!F5="房地产抵押价值",I110,I112)</f>
        <v>8839396</v>
      </c>
      <c r="O49" s="3517"/>
      <c r="P49" s="3517"/>
      <c r="Q49" s="1276"/>
    </row>
    <row r="50" spans="1:17" ht="25.5" customHeight="1">
      <c r="A50" s="2049"/>
      <c r="B50" s="3453" t="s">
        <v>1726</v>
      </c>
      <c r="C50" s="3453"/>
      <c r="D50" s="2540"/>
      <c r="E50" s="269"/>
      <c r="F50" s="2537"/>
      <c r="G50" s="3511"/>
      <c r="H50" s="2541" t="s">
        <v>2681</v>
      </c>
      <c r="I50" s="2539"/>
      <c r="J50" s="2822"/>
      <c r="K50" s="3516" t="s">
        <v>2689</v>
      </c>
      <c r="L50" s="3516"/>
      <c r="M50" s="3516"/>
      <c r="N50" s="3516"/>
      <c r="O50" s="3516"/>
      <c r="P50" s="3516"/>
      <c r="Q50" s="1276"/>
    </row>
    <row r="51" spans="1:17" ht="20.45" customHeight="1">
      <c r="A51" s="2542"/>
      <c r="B51" s="3453" t="s">
        <v>1728</v>
      </c>
      <c r="C51" s="3453"/>
      <c r="D51" s="1068"/>
      <c r="E51" s="264"/>
      <c r="F51" s="2537"/>
      <c r="G51" s="3512"/>
      <c r="H51" s="2541" t="s">
        <v>2682</v>
      </c>
      <c r="I51" s="2539"/>
      <c r="J51" s="2822"/>
      <c r="K51" s="2505" t="s">
        <v>2690</v>
      </c>
      <c r="L51" s="3516" t="s">
        <v>2691</v>
      </c>
      <c r="M51" s="3516"/>
      <c r="N51" s="2505" t="s">
        <v>2692</v>
      </c>
      <c r="O51" s="2505" t="s">
        <v>2693</v>
      </c>
      <c r="P51" s="2505" t="s">
        <v>2694</v>
      </c>
      <c r="Q51" s="1276"/>
    </row>
    <row r="52" spans="1:17" ht="24" customHeight="1">
      <c r="A52" s="2050" t="s">
        <v>1734</v>
      </c>
      <c r="B52" s="3453" t="s">
        <v>1735</v>
      </c>
      <c r="C52" s="3453"/>
      <c r="D52" s="1068">
        <f ca="1">ROUND(D45*'数据-取费表'!E29/(1+'数据-取费表'!F30),0)</f>
        <v>471434</v>
      </c>
      <c r="E52" s="2060" t="s">
        <v>1736</v>
      </c>
      <c r="F52" s="2543">
        <f>'数据-取费表'!E29</f>
        <v>5.6000000000000001E-2</v>
      </c>
      <c r="G52" s="2544"/>
      <c r="H52" s="945"/>
      <c r="I52" s="2947"/>
      <c r="J52" s="2822"/>
      <c r="K52" s="2504">
        <v>1</v>
      </c>
      <c r="L52" s="3483" t="s">
        <v>2695</v>
      </c>
      <c r="M52" s="3483"/>
      <c r="N52" s="2506">
        <f ca="1">D48</f>
        <v>471434</v>
      </c>
      <c r="O52" s="2504" t="str">
        <f>E48</f>
        <v>销售额×税（费）率</v>
      </c>
      <c r="P52" s="2507">
        <f>F48</f>
        <v>5.6000000000000001E-2</v>
      </c>
      <c r="Q52" s="1276"/>
    </row>
    <row r="53" spans="1:17" ht="12" customHeight="1">
      <c r="A53" s="2050" t="s">
        <v>1738</v>
      </c>
      <c r="B53" s="3415" t="s">
        <v>2774</v>
      </c>
      <c r="C53" s="3454"/>
      <c r="D53" s="1068">
        <f ca="1">ROUND(D45*'数据-取费表'!E29/(1+'数据-取费表'!F30),0)</f>
        <v>471434</v>
      </c>
      <c r="E53" s="2060" t="s">
        <v>1736</v>
      </c>
      <c r="F53" s="2543">
        <f>'数据-取费表'!E29</f>
        <v>5.6000000000000001E-2</v>
      </c>
      <c r="G53" s="2544"/>
      <c r="H53" s="945"/>
      <c r="I53" s="2947"/>
      <c r="J53" s="2822"/>
      <c r="K53" s="2504">
        <v>2</v>
      </c>
      <c r="L53" s="3483" t="s">
        <v>2696</v>
      </c>
      <c r="M53" s="3483"/>
      <c r="N53" s="2506">
        <f t="shared" ref="N53:P54" si="1">D55</f>
        <v>0</v>
      </c>
      <c r="O53" s="2504" t="str">
        <f t="shared" si="1"/>
        <v>销售额×税（费）率</v>
      </c>
      <c r="P53" s="2507" t="str">
        <f t="shared" si="1"/>
        <v>免征</v>
      </c>
      <c r="Q53" s="1276"/>
    </row>
    <row r="54" spans="1:17" ht="12" customHeight="1">
      <c r="A54" s="2050" t="s">
        <v>1740</v>
      </c>
      <c r="B54" s="3415" t="s">
        <v>2775</v>
      </c>
      <c r="C54" s="3454"/>
      <c r="D54" s="1068">
        <f ca="1">C68</f>
        <v>471434</v>
      </c>
      <c r="E54" s="264" t="s">
        <v>1741</v>
      </c>
      <c r="F54" s="2543">
        <f>'数据-取费表'!E29</f>
        <v>5.6000000000000001E-2</v>
      </c>
      <c r="G54" s="2544"/>
      <c r="H54" s="2948"/>
      <c r="I54" s="2947"/>
      <c r="J54" s="2822"/>
      <c r="K54" s="2504">
        <v>3</v>
      </c>
      <c r="L54" s="3483" t="s">
        <v>2697</v>
      </c>
      <c r="M54" s="3483"/>
      <c r="N54" s="2506">
        <f t="shared" si="1"/>
        <v>0</v>
      </c>
      <c r="O54" s="2504" t="str">
        <f t="shared" si="1"/>
        <v>增值额×税（费）率</v>
      </c>
      <c r="P54" s="2508" t="str">
        <f t="shared" si="1"/>
        <v>免征</v>
      </c>
      <c r="Q54" s="1276"/>
    </row>
    <row r="55" spans="1:17" ht="24" customHeight="1">
      <c r="A55" s="3413" t="s">
        <v>1743</v>
      </c>
      <c r="B55" s="3414"/>
      <c r="C55" s="3414"/>
      <c r="D55" s="12">
        <f>IF(H55="个人住宅",0,ROUND(D45*I55,0))</f>
        <v>0</v>
      </c>
      <c r="E55" s="2060" t="s">
        <v>1744</v>
      </c>
      <c r="F55" s="2543" t="str">
        <f>IF(H55="正常",I55,"免征")</f>
        <v>免征</v>
      </c>
      <c r="G55" s="2544"/>
      <c r="H55" s="2535" t="s">
        <v>2678</v>
      </c>
      <c r="I55" s="74">
        <f>'数据-取费表'!E37</f>
        <v>5.0000000000000001E-4</v>
      </c>
      <c r="J55" s="2822"/>
      <c r="K55" s="2504" t="str">
        <f>IF(H59="非个人房产","",4)</f>
        <v/>
      </c>
      <c r="L55" s="3483" t="str">
        <f>IF(H59="非个人房产","——","个人所得税")</f>
        <v>——</v>
      </c>
      <c r="M55" s="3483"/>
      <c r="N55" s="2509" t="str">
        <f>D59</f>
        <v>——</v>
      </c>
      <c r="O55" s="2510" t="str">
        <f>E59</f>
        <v>——</v>
      </c>
      <c r="P55" s="2511" t="str">
        <f>F59</f>
        <v>——</v>
      </c>
      <c r="Q55" s="1276"/>
    </row>
    <row r="56" spans="1:17" ht="24.75">
      <c r="A56" s="3413" t="s">
        <v>1746</v>
      </c>
      <c r="B56" s="3414"/>
      <c r="C56" s="3414"/>
      <c r="D56" s="12">
        <f>IF(H56="个人住宅",D57,D58)</f>
        <v>0</v>
      </c>
      <c r="E56" s="2060" t="s">
        <v>1747</v>
      </c>
      <c r="F56" s="2543" t="str">
        <f>IF(H56="正常",F58,"免征")</f>
        <v>免征</v>
      </c>
      <c r="G56" s="2545" t="s">
        <v>1748</v>
      </c>
      <c r="H56" s="2546" t="s">
        <v>2678</v>
      </c>
      <c r="I56" s="2949"/>
      <c r="J56" s="2822"/>
      <c r="K56" s="2504" t="str">
        <f>IF(项目基本情况!I6="上海银行",IF(K55="",4,K55+1),"")</f>
        <v/>
      </c>
      <c r="L56" s="3497" t="str">
        <f>IF(项目基本情况!I6="上海银行","其他处置费用","")</f>
        <v/>
      </c>
      <c r="M56" s="3498"/>
      <c r="N56" s="2506" t="str">
        <f>IF(项目基本情况!I6="上海银行",N69,"")</f>
        <v/>
      </c>
      <c r="O56" s="3497" t="str">
        <f>IF(项目基本情况!I6="上海银行","包含处置中涉及的律师、诉讼、拍卖、评估等费用","")</f>
        <v/>
      </c>
      <c r="P56" s="3509"/>
      <c r="Q56" s="1276"/>
    </row>
    <row r="57" spans="1:17" ht="12.75">
      <c r="A57" s="2050" t="s">
        <v>1723</v>
      </c>
      <c r="B57" s="3415" t="s">
        <v>1749</v>
      </c>
      <c r="C57" s="3454"/>
      <c r="D57" s="2536">
        <v>0</v>
      </c>
      <c r="E57" s="261" t="s">
        <v>1725</v>
      </c>
      <c r="F57" s="235"/>
      <c r="G57" s="2544"/>
      <c r="H57" s="2949"/>
      <c r="I57" s="2949"/>
      <c r="J57" s="2822"/>
      <c r="K57" s="3483">
        <f>IF(AND(K55="",K56=""),4,IF(项目基本情况!I6="上海银行",K56+1,K55+1))</f>
        <v>4</v>
      </c>
      <c r="L57" s="3483" t="s">
        <v>2698</v>
      </c>
      <c r="M57" s="2512" t="s">
        <v>2699</v>
      </c>
      <c r="N57" s="2513"/>
      <c r="O57" s="2514">
        <f ca="1">SUMIF(N52:N56,"&lt;9e307")</f>
        <v>471434</v>
      </c>
      <c r="P57" s="2515"/>
      <c r="Q57" s="1274">
        <f ca="1">O57/N49</f>
        <v>5.3333282047777923E-2</v>
      </c>
    </row>
    <row r="58" spans="1:17" ht="24.75">
      <c r="A58" s="2050" t="s">
        <v>1734</v>
      </c>
      <c r="B58" s="3415" t="s">
        <v>1752</v>
      </c>
      <c r="C58" s="3453"/>
      <c r="D58" s="12">
        <f ca="1">IF(H58="转让取得",C81,C97)</f>
        <v>5003098</v>
      </c>
      <c r="E58" s="2060" t="s">
        <v>1747</v>
      </c>
      <c r="F58" s="235" t="s">
        <v>48</v>
      </c>
      <c r="G58" s="2544"/>
      <c r="H58" s="2546" t="s">
        <v>1753</v>
      </c>
      <c r="I58" s="2949"/>
      <c r="J58" s="2822"/>
      <c r="K58" s="3483"/>
      <c r="L58" s="3483"/>
      <c r="M58" s="2512" t="s">
        <v>2700</v>
      </c>
      <c r="N58" s="2516"/>
      <c r="O58" s="2517" t="str">
        <f ca="1">IF(H19="元",NUMBERSTRING(INT(O57),2)&amp;"元整",NUMBERSTRING(INT(O57*10000),2)&amp;"元整")</f>
        <v>肆拾柒万壹仟肆佰叁拾肆元整</v>
      </c>
      <c r="P58" s="2518"/>
      <c r="Q58" s="1276"/>
    </row>
    <row r="59" spans="1:17" ht="24.75" thickBot="1">
      <c r="A59" s="3437" t="s">
        <v>1755</v>
      </c>
      <c r="B59" s="3438"/>
      <c r="C59" s="3438"/>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2753</v>
      </c>
      <c r="H59" s="2064" t="s">
        <v>2763</v>
      </c>
      <c r="I59" s="2851" t="s">
        <v>2764</v>
      </c>
      <c r="J59" s="2822"/>
      <c r="K59" s="3481">
        <f>K57+1</f>
        <v>5</v>
      </c>
      <c r="L59" s="3483" t="s">
        <v>2701</v>
      </c>
      <c r="M59" s="2504" t="s">
        <v>2699</v>
      </c>
      <c r="N59" s="2519"/>
      <c r="O59" s="2520">
        <f ca="1">N49-O57</f>
        <v>8367962</v>
      </c>
      <c r="P59" s="2521"/>
      <c r="Q59" s="1276"/>
    </row>
    <row r="60" spans="1:17" ht="12" customHeight="1">
      <c r="A60" s="1425"/>
      <c r="B60" s="1429"/>
      <c r="C60" s="1429"/>
      <c r="D60" s="1429"/>
      <c r="E60" s="812"/>
      <c r="F60" s="2950"/>
      <c r="G60" s="2950"/>
      <c r="H60" s="2951"/>
      <c r="I60" s="31"/>
      <c r="K60" s="3482"/>
      <c r="L60" s="3483"/>
      <c r="M60" s="2512" t="s">
        <v>2700</v>
      </c>
      <c r="N60" s="2516"/>
      <c r="O60" s="2517" t="str">
        <f ca="1">IF(H19="元",NUMBERSTRING(INT(O59),2)&amp;"元整",NUMBERSTRING(INT(O59*10000),2)&amp;"元整")</f>
        <v>捌佰叁拾陆万柒仟玖佰陆拾贰元整</v>
      </c>
      <c r="P60" s="2518"/>
      <c r="Q60" s="1276"/>
    </row>
    <row r="61" spans="1:17" ht="13.5" thickBot="1">
      <c r="A61" s="3463" t="s">
        <v>1757</v>
      </c>
      <c r="B61" s="3463"/>
      <c r="C61" s="3463"/>
      <c r="D61" s="3463"/>
      <c r="E61" s="3463"/>
      <c r="F61" s="2950"/>
      <c r="G61" s="2950"/>
      <c r="H61" s="2952"/>
      <c r="I61" s="31"/>
      <c r="K61" s="2504">
        <f>K59+1</f>
        <v>6</v>
      </c>
      <c r="L61" s="3483" t="s">
        <v>2702</v>
      </c>
      <c r="M61" s="3483"/>
      <c r="N61" s="2522"/>
      <c r="O61" s="2523">
        <f ca="1">IF(H19="元",ROUND(O59/项目基本情况!C12,0),ROUND(O59*10000/项目基本情况!C12,0))</f>
        <v>32258</v>
      </c>
      <c r="P61" s="2524"/>
      <c r="Q61" s="1276"/>
    </row>
    <row r="62" spans="1:17" ht="12.75">
      <c r="A62" s="3472" t="s">
        <v>1759</v>
      </c>
      <c r="B62" s="3473"/>
      <c r="C62" s="1575"/>
      <c r="D62" s="1575" t="s">
        <v>1760</v>
      </c>
      <c r="E62" s="45" t="s">
        <v>1761</v>
      </c>
      <c r="F62" s="2950"/>
      <c r="G62" s="2950"/>
      <c r="H62" s="2952"/>
      <c r="I62" s="31"/>
      <c r="K62" s="2525"/>
      <c r="L62" s="2525"/>
      <c r="M62" s="2525"/>
      <c r="N62" s="2525"/>
      <c r="O62" s="2525"/>
      <c r="P62" s="2525"/>
      <c r="Q62" s="1276"/>
    </row>
    <row r="63" spans="1:17" ht="12.75">
      <c r="A63" s="46">
        <v>1</v>
      </c>
      <c r="B63" s="47" t="s">
        <v>1762</v>
      </c>
      <c r="C63" s="2753">
        <f ca="1">ROUND((C64+C65)/(1+'数据-取费表'!F30),0)</f>
        <v>8418472</v>
      </c>
      <c r="D63" s="47"/>
      <c r="E63" s="48"/>
      <c r="F63" s="2950"/>
      <c r="G63" s="2950"/>
      <c r="H63" s="2952"/>
      <c r="I63" s="31"/>
      <c r="K63" s="3499" t="s">
        <v>2703</v>
      </c>
      <c r="L63" s="2526" t="s">
        <v>2704</v>
      </c>
      <c r="M63" s="2526">
        <f ca="1">IF(N49&gt;10000,N49*0.5%,IF(AND(N49&gt;1000,N49&lt;=10000),N49*1%,IF(AND(N49&gt;100,N49&lt;=1000),N49*3%,IF(AND(N49&gt;10,N49&lt;=100),N49*5%,N49*8%))))</f>
        <v>44196.98</v>
      </c>
      <c r="N63" s="2527">
        <f ca="1">ROUND(M63,1)</f>
        <v>44197</v>
      </c>
      <c r="O63" s="2525"/>
      <c r="P63" s="2525"/>
      <c r="Q63" s="1276"/>
    </row>
    <row r="64" spans="1:17" ht="12.75">
      <c r="A64" s="49" t="s">
        <v>71</v>
      </c>
      <c r="B64" s="50" t="s">
        <v>1765</v>
      </c>
      <c r="C64" s="2754">
        <f ca="1">D45</f>
        <v>8839396</v>
      </c>
      <c r="D64" s="50" t="s">
        <v>41</v>
      </c>
      <c r="E64" s="52"/>
      <c r="F64" s="2950"/>
      <c r="G64" s="2950"/>
      <c r="H64" s="2952"/>
      <c r="I64" s="31"/>
      <c r="K64" s="3499"/>
      <c r="L64" s="2526" t="s">
        <v>2705</v>
      </c>
      <c r="M64" s="2526">
        <f ca="1">IF(N49&gt;2000,N49*0.5%,IF(AND(N49&gt;1000,N49&lt;=2000),N49*0.6%,IF(AND(N49&gt;500,N49&lt;=1000),N49*0.7%,IF(AND(N49&gt;200,N49&lt;=500),N49*0.8%,IF(AND(N49&gt;100,N49&lt;=200),N49*0.9%,IF(AND(N49&gt;50,N49&lt;=100),N49*1%,IF(AND(N49&gt;20,N49&lt;=50),N49*1.5%,IF(AND(N49&gt;10,N49&lt;=20),N49*2%,IF(AND(N49&gt;1,N49&lt;=10),N49*2.5%)))))))))</f>
        <v>44196.98</v>
      </c>
      <c r="N64" s="2527">
        <f t="shared" ref="N64:N65" ca="1" si="2">ROUND(M64,1)</f>
        <v>44197</v>
      </c>
      <c r="O64" s="2525" t="s">
        <v>2706</v>
      </c>
      <c r="P64" s="2525"/>
      <c r="Q64" s="1276"/>
    </row>
    <row r="65" spans="1:36" ht="12.75">
      <c r="A65" s="49" t="s">
        <v>72</v>
      </c>
      <c r="B65" s="50" t="s">
        <v>1768</v>
      </c>
      <c r="C65" s="2755"/>
      <c r="D65" s="50"/>
      <c r="E65" s="52"/>
      <c r="F65" s="2950"/>
      <c r="G65" s="2950"/>
      <c r="H65" s="2952"/>
      <c r="I65" s="31"/>
      <c r="K65" s="3499"/>
      <c r="L65" s="2526" t="s">
        <v>2707</v>
      </c>
      <c r="M65" s="2526">
        <f ca="1">IF(N49&gt;1000,N49*0.1%,IF(AND(N49&gt;500,N49&lt;=1000),N49*0.5%,IF(AND(N49&gt;50,N49&lt;=500),N49*1%,IF(AND(N49&gt;1,N49&lt;=50),N49*1.5%))))</f>
        <v>8839.3960000000006</v>
      </c>
      <c r="N65" s="2527">
        <f t="shared" ca="1" si="2"/>
        <v>8839.4</v>
      </c>
      <c r="O65" s="2525" t="s">
        <v>2706</v>
      </c>
      <c r="P65" s="2525"/>
      <c r="Q65" s="1276"/>
    </row>
    <row r="66" spans="1:36" ht="12.75">
      <c r="A66" s="53" t="s">
        <v>47</v>
      </c>
      <c r="B66" s="54" t="s">
        <v>1770</v>
      </c>
      <c r="C66" s="2756"/>
      <c r="D66" s="54" t="s">
        <v>41</v>
      </c>
      <c r="E66" s="1284" t="s">
        <v>1771</v>
      </c>
      <c r="F66" s="2950"/>
      <c r="G66" s="2950"/>
      <c r="H66" s="2952"/>
      <c r="I66" s="31"/>
      <c r="K66" s="3499"/>
      <c r="L66" s="2526" t="s">
        <v>2708</v>
      </c>
      <c r="M66" s="2526">
        <f ca="1">N49*0.5%</f>
        <v>44196.98</v>
      </c>
      <c r="N66" s="2527">
        <f ca="1">IF(M66&gt;0.5,0.5,ROUND(M66,0))</f>
        <v>0.5</v>
      </c>
      <c r="O66" s="2525" t="s">
        <v>2709</v>
      </c>
      <c r="P66" s="2525"/>
      <c r="Q66" s="1276"/>
    </row>
    <row r="67" spans="1:36" ht="12.75">
      <c r="A67" s="53" t="s">
        <v>42</v>
      </c>
      <c r="B67" s="54" t="s">
        <v>1774</v>
      </c>
      <c r="C67" s="2757">
        <f ca="1">C63-C66</f>
        <v>8418472</v>
      </c>
      <c r="D67" s="50" t="s">
        <v>41</v>
      </c>
      <c r="E67" s="52"/>
      <c r="F67" s="2950"/>
      <c r="G67" s="2950"/>
      <c r="H67" s="2952"/>
      <c r="I67" s="31"/>
      <c r="K67" s="3499"/>
      <c r="L67" s="2526" t="s">
        <v>2710</v>
      </c>
      <c r="M67" s="2526">
        <f ca="1">IF(N49&gt;=10000,(8.25+(N49-10000)*0.01%),IF(AND(N49&gt;=8000,N49&lt;10000),(7.85+(N49-8000)*0.02%),IF(AND(N49&gt;=5000,N49&lt;8000),(6.65+(N49-5000)*0.04%),IF(AND(N49&gt;=2000,N49&lt;5000),(4.25+(PN49-2000)*0.08%),IF(AND(N49&gt;=1000,N49&lt;2000),(2.75+(N49-1000)*0.15%),IF(AND(N49&gt;=100,N49&lt;1000),(0.5+(N49-100)*0.25%),IF(AND(N49&gt;0,N49&lt;100),N49*0.5%)))))))</f>
        <v>891.18960000000004</v>
      </c>
      <c r="N67" s="2527">
        <f ca="1">ROUND(M67*0.9,1)</f>
        <v>802.1</v>
      </c>
      <c r="O67" s="2525"/>
      <c r="P67" s="2525"/>
      <c r="Q67" s="1276"/>
    </row>
    <row r="68" spans="1:36" ht="13.5" thickBot="1">
      <c r="A68" s="55" t="s">
        <v>46</v>
      </c>
      <c r="B68" s="56" t="s">
        <v>1776</v>
      </c>
      <c r="C68" s="2758">
        <f ca="1">IF(C67&lt;=0,0,ROUND(C67*D68,0))</f>
        <v>471434</v>
      </c>
      <c r="D68" s="2210">
        <f>'数据-取费表'!E29</f>
        <v>5.6000000000000001E-2</v>
      </c>
      <c r="E68" s="57"/>
      <c r="F68" s="2950"/>
      <c r="G68" s="2950"/>
      <c r="H68" s="2952"/>
      <c r="I68" s="31"/>
      <c r="K68" s="3499"/>
      <c r="L68" s="2526" t="s">
        <v>2711</v>
      </c>
      <c r="M68" s="2526">
        <f ca="1">IF(N49&gt;10000,N49*0.5%,IF(AND(N49&gt;5000,N49&lt;=10000),N49*1%,IF(AND(N49&gt;1000,N49&lt;=5000),N49*2%,IF(AND(N49&gt;200,N49&lt;=1000),N49*3%,N49*5%))))</f>
        <v>44196.98</v>
      </c>
      <c r="N68" s="2527">
        <f ca="1">ROUND(M68,1)</f>
        <v>44197</v>
      </c>
      <c r="O68" s="2525"/>
      <c r="P68" s="2525"/>
      <c r="Q68" s="1276"/>
    </row>
    <row r="69" spans="1:36" s="1433" customFormat="1" ht="7.5" customHeight="1">
      <c r="A69" s="1445"/>
      <c r="B69" s="1446"/>
      <c r="C69" s="1447"/>
      <c r="D69" s="1448"/>
      <c r="E69" s="1449"/>
      <c r="F69" s="812"/>
      <c r="G69" s="812"/>
      <c r="H69" s="1438"/>
      <c r="I69" s="1429"/>
      <c r="J69" s="2810"/>
      <c r="K69" s="3499"/>
      <c r="L69" s="2526" t="s">
        <v>54</v>
      </c>
      <c r="M69" s="2526"/>
      <c r="N69" s="2527">
        <f ca="1">ROUND(SUM(N63:N68),0)</f>
        <v>142233</v>
      </c>
      <c r="O69" s="2528">
        <f ca="1">N69/N49</f>
        <v>1.6090805299366608E-2</v>
      </c>
      <c r="P69" s="2525"/>
      <c r="Q69" s="1276"/>
      <c r="R69" s="659"/>
      <c r="S69" s="659"/>
      <c r="T69" s="659"/>
      <c r="U69" s="659"/>
      <c r="V69" s="659"/>
      <c r="W69" s="659"/>
      <c r="X69" s="659"/>
      <c r="Y69" s="659"/>
      <c r="Z69" s="659"/>
      <c r="AA69" s="659"/>
      <c r="AB69" s="1276"/>
      <c r="AC69" s="1276"/>
      <c r="AD69" s="1276"/>
      <c r="AE69" s="1276"/>
      <c r="AF69" s="1276"/>
      <c r="AG69" s="1276"/>
      <c r="AH69" s="1276"/>
      <c r="AI69" s="1276"/>
      <c r="AJ69" s="1276"/>
    </row>
    <row r="70" spans="1:36" s="1451" customFormat="1" ht="15" thickBot="1">
      <c r="A70" s="3475" t="s">
        <v>1779</v>
      </c>
      <c r="B70" s="3476"/>
      <c r="C70" s="3476"/>
      <c r="D70" s="3476"/>
      <c r="E70" s="3476"/>
      <c r="F70" s="3476"/>
      <c r="G70" s="3476"/>
      <c r="H70" s="3476"/>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72" t="s">
        <v>1759</v>
      </c>
      <c r="B71" s="3473"/>
      <c r="C71" s="1575"/>
      <c r="D71" s="1575" t="s">
        <v>1760</v>
      </c>
      <c r="E71" s="58" t="s">
        <v>1761</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1780</v>
      </c>
      <c r="C72" s="2757">
        <f ca="1">ROUND(D45/(1+'数据-取费表'!F30),0)</f>
        <v>8418472</v>
      </c>
      <c r="D72" s="50" t="s">
        <v>41</v>
      </c>
      <c r="E72" s="12" t="s">
        <v>1781</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1782</v>
      </c>
      <c r="C73" s="2757">
        <f ca="1">C74+C78</f>
        <v>50511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1" t="s">
        <v>1786</v>
      </c>
      <c r="G75" s="64" t="s">
        <v>1787</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3">
        <v>0.05</v>
      </c>
      <c r="E76" s="3415" t="s">
        <v>1789</v>
      </c>
      <c r="F76" s="3453"/>
      <c r="G76" s="3453"/>
      <c r="H76" s="3467"/>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3"/>
      <c r="G77" s="1454" t="s">
        <v>1792</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1793</v>
      </c>
      <c r="C78" s="2765">
        <f ca="1">ROUND(D45*D78/(1+'数据-取费表'!F30),0)</f>
        <v>50511</v>
      </c>
      <c r="D78" s="2766">
        <f>'数据-取费表'!E31</f>
        <v>6.000000000000001E-3</v>
      </c>
      <c r="E78" s="3447" t="s">
        <v>1794</v>
      </c>
      <c r="F78" s="3448"/>
      <c r="G78" s="3448"/>
      <c r="H78" s="3449"/>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1795</v>
      </c>
      <c r="C79" s="2757">
        <f ca="1">C72-C73</f>
        <v>8367961</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1796</v>
      </c>
      <c r="C80" s="2767">
        <f ca="1">IF(C79&lt;=0,0,C79/C73)</f>
        <v>165.6661123319673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1797</v>
      </c>
      <c r="C81" s="2768">
        <f ca="1">ROUND(IF(C79&lt;=0,0,IF(C80&gt;=200%,C79*60%-C73*35%,IF(C80&gt;=100%,C79*50%-C73*15%,IF(C80&gt;=50%,C79*40%-C73*5%,IF(C80&lt;50%,C79*30%,0))))),0)</f>
        <v>5003098</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7"/>
      <c r="B82" s="608"/>
      <c r="C82" s="9"/>
      <c r="D82" s="9"/>
      <c r="E82" s="608"/>
      <c r="F82" s="608"/>
      <c r="G82" s="608"/>
      <c r="H82" s="609"/>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475" t="s">
        <v>1798</v>
      </c>
      <c r="B83" s="3476"/>
      <c r="C83" s="3476"/>
      <c r="D83" s="3476"/>
      <c r="E83" s="3476"/>
      <c r="F83" s="3476"/>
      <c r="G83" s="3476"/>
      <c r="H83" s="3476"/>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72" t="s">
        <v>1759</v>
      </c>
      <c r="B84" s="3473"/>
      <c r="C84" s="1575"/>
      <c r="D84" s="1575" t="s">
        <v>1760</v>
      </c>
      <c r="E84" s="58" t="s">
        <v>1761</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1780</v>
      </c>
      <c r="C85" s="2757">
        <f ca="1">ROUND(D45/(1+'数据-取费表'!F30),0)</f>
        <v>8418472</v>
      </c>
      <c r="D85" s="50" t="s">
        <v>41</v>
      </c>
      <c r="E85" s="2056" t="s">
        <v>1781</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1782</v>
      </c>
      <c r="C86" s="2757">
        <f ca="1">IF(H88="仅含出让金",C87+C90+C91+C92+C93+C94,C87+C91+C92+C93+C94)</f>
        <v>50511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1799</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1800</v>
      </c>
      <c r="C88" s="2770"/>
      <c r="D88" s="2766"/>
      <c r="E88" s="74" t="s">
        <v>1801</v>
      </c>
      <c r="F88" s="2054"/>
      <c r="G88" s="75" t="s">
        <v>1802</v>
      </c>
      <c r="H88" s="1456"/>
      <c r="I88" s="9"/>
      <c r="J88" s="2825"/>
      <c r="K88" s="2941" t="s">
        <v>2757</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1790</v>
      </c>
      <c r="C89" s="2765">
        <f>ROUND(C88*D89,0)</f>
        <v>0</v>
      </c>
      <c r="D89" s="2766">
        <f>'数据-取费表'!E36+'数据-取费表'!E37</f>
        <v>3.0499999999999999E-2</v>
      </c>
      <c r="E89" s="74" t="s">
        <v>1803</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1804</v>
      </c>
      <c r="C90" s="2770"/>
      <c r="D90" s="2766"/>
      <c r="E90" s="74" t="str">
        <f>IF(H88="-","土地取得成本中已包含该笔费用"," ")</f>
        <v xml:space="preserve"> </v>
      </c>
      <c r="F90" s="2054"/>
      <c r="G90" s="3508" t="s">
        <v>2673</v>
      </c>
      <c r="H90" s="3508"/>
      <c r="I90" s="9"/>
      <c r="J90" s="2825"/>
      <c r="K90" s="2941" t="s">
        <v>2758</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1805</v>
      </c>
      <c r="C91" s="2765">
        <f>IF(H91="——",成本法!C33,I91)</f>
        <v>0</v>
      </c>
      <c r="D91" s="2766"/>
      <c r="E91" s="3447" t="s">
        <v>1806</v>
      </c>
      <c r="F91" s="3448"/>
      <c r="G91" s="3448"/>
      <c r="H91" s="1457" t="s">
        <v>1807</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1808</v>
      </c>
      <c r="C92" s="2765">
        <f>ROUND((C87+C90+C91)*D92,0)</f>
        <v>0</v>
      </c>
      <c r="D92" s="2809">
        <v>0.1</v>
      </c>
      <c r="E92" s="3447" t="s">
        <v>1809</v>
      </c>
      <c r="F92" s="3448"/>
      <c r="G92" s="3448"/>
      <c r="H92" s="3449"/>
      <c r="I92" s="9"/>
      <c r="J92" s="2825"/>
      <c r="K92" s="2942" t="s">
        <v>2759</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1793</v>
      </c>
      <c r="C93" s="2765">
        <f ca="1">ROUND(D45*D93/(1+'数据-取费表'!F30),0)</f>
        <v>50511</v>
      </c>
      <c r="D93" s="2766">
        <f>'数据-取费表'!E31</f>
        <v>6.000000000000001E-3</v>
      </c>
      <c r="E93" s="3447" t="s">
        <v>1794</v>
      </c>
      <c r="F93" s="3448"/>
      <c r="G93" s="3448"/>
      <c r="H93" s="3449"/>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1810</v>
      </c>
      <c r="C94" s="2765">
        <f>ROUND((C87+C90+C91)*D94,0)</f>
        <v>0</v>
      </c>
      <c r="D94" s="2766">
        <v>0.2</v>
      </c>
      <c r="E94" s="3447" t="s">
        <v>1811</v>
      </c>
      <c r="F94" s="3448"/>
      <c r="G94" s="3448"/>
      <c r="H94" s="3449"/>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1795</v>
      </c>
      <c r="C95" s="2757">
        <f ca="1">ROUND(C85-C86,0)</f>
        <v>8367961</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1796</v>
      </c>
      <c r="C96" s="2767">
        <f ca="1">IF(C95&lt;=0,0,C95/C86)</f>
        <v>165.6661123319673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1797</v>
      </c>
      <c r="C97" s="2768">
        <f ca="1">ROUND(IF(C95&lt;=0,0,IF(C96&gt;=200%,C95*60%-C86*35%,IF(C96&gt;=100%,C95*50%-C86*15%,IF(C96&gt;=50%,C95*40%-C86*5%,IF(C96&lt;50%,C95*30%,0))))),0)</f>
        <v>5003098</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1812</v>
      </c>
      <c r="B98" s="1429"/>
      <c r="C98" s="1429"/>
      <c r="D98" s="1429"/>
      <c r="E98" s="812"/>
      <c r="F98" s="812"/>
      <c r="G98" s="812"/>
      <c r="H98" s="1438"/>
      <c r="I98" s="1429"/>
    </row>
    <row r="99" spans="1:36" ht="15.75">
      <c r="A99" s="3494" t="s">
        <v>1813</v>
      </c>
      <c r="B99" s="3495"/>
      <c r="C99" s="3495"/>
      <c r="D99" s="3496"/>
      <c r="E99" s="1429"/>
      <c r="F99" s="3503" t="s">
        <v>1814</v>
      </c>
      <c r="G99" s="3504"/>
      <c r="H99" s="3504"/>
      <c r="I99" s="3505"/>
      <c r="J99" s="2828"/>
    </row>
    <row r="100" spans="1:36" ht="15">
      <c r="A100" s="3506" t="s">
        <v>1815</v>
      </c>
      <c r="B100" s="3507"/>
      <c r="C100" s="1275" t="str">
        <f>C4</f>
        <v>成本法</v>
      </c>
      <c r="D100" s="2776" t="str">
        <f>D4</f>
        <v>收益法</v>
      </c>
      <c r="E100" s="1429"/>
      <c r="F100" s="3418" t="s">
        <v>2717</v>
      </c>
      <c r="G100" s="3419"/>
      <c r="H100" s="3418" t="s">
        <v>2718</v>
      </c>
      <c r="I100" s="3417"/>
      <c r="J100" s="2829"/>
    </row>
    <row r="101" spans="1:36" ht="12.75">
      <c r="A101" s="3486" t="s">
        <v>2750</v>
      </c>
      <c r="B101" s="2275" t="str">
        <f>IF(H19="元","总价（元）","总价（万元）")</f>
        <v>总价（元）</v>
      </c>
      <c r="C101" s="1275">
        <f ca="1">C19</f>
        <v>14970551</v>
      </c>
      <c r="D101" s="2776">
        <f ca="1">D19</f>
        <v>6211867</v>
      </c>
      <c r="E101" s="1429"/>
      <c r="F101" s="3418" t="str">
        <f>项目基本情况!I1</f>
        <v>北京市房地产</v>
      </c>
      <c r="G101" s="3419"/>
      <c r="H101" s="3416">
        <f>项目基本情况!C12</f>
        <v>259.41000000000003</v>
      </c>
      <c r="I101" s="3417"/>
      <c r="J101" s="2829"/>
    </row>
    <row r="102" spans="1:36" ht="12.75">
      <c r="A102" s="3486"/>
      <c r="B102" s="2275" t="s">
        <v>2751</v>
      </c>
      <c r="C102" s="2777">
        <f ca="1">C20</f>
        <v>57710</v>
      </c>
      <c r="D102" s="2778">
        <f ca="1">D20</f>
        <v>23946</v>
      </c>
      <c r="E102" s="1429"/>
      <c r="F102" s="3428" t="s">
        <v>2747</v>
      </c>
      <c r="G102" s="3429"/>
      <c r="H102" s="2786" t="str">
        <f>C106</f>
        <v>总价（元）</v>
      </c>
      <c r="I102" s="2787">
        <f ca="1">H121</f>
        <v>8839396</v>
      </c>
      <c r="J102" s="2829"/>
    </row>
    <row r="103" spans="1:36" ht="12.75">
      <c r="A103" s="3486" t="s">
        <v>2752</v>
      </c>
      <c r="B103" s="2213" t="str">
        <f>B101</f>
        <v>总价（元）</v>
      </c>
      <c r="C103" s="2781">
        <f ca="1">H121</f>
        <v>8839396</v>
      </c>
      <c r="D103" s="2779"/>
      <c r="E103" s="1429"/>
      <c r="F103" s="3428"/>
      <c r="G103" s="3429"/>
      <c r="H103" s="2786" t="s">
        <v>2720</v>
      </c>
      <c r="I103" s="52">
        <f ca="1">I121</f>
        <v>34075</v>
      </c>
      <c r="J103" s="2813"/>
    </row>
    <row r="104" spans="1:36" ht="13.5" thickBot="1">
      <c r="A104" s="3487"/>
      <c r="B104" s="2783" t="s">
        <v>2751</v>
      </c>
      <c r="C104" s="2784">
        <f ca="1">I121</f>
        <v>34075</v>
      </c>
      <c r="D104" s="2785"/>
      <c r="E104" s="1429"/>
      <c r="F104" s="3428"/>
      <c r="G104" s="3429"/>
      <c r="H104" s="3488"/>
      <c r="I104" s="3489"/>
      <c r="J104" s="2830"/>
    </row>
    <row r="105" spans="1:36" ht="15">
      <c r="A105" s="3494" t="s">
        <v>1816</v>
      </c>
      <c r="B105" s="3495"/>
      <c r="C105" s="3495"/>
      <c r="D105" s="3496"/>
      <c r="E105" s="1429"/>
      <c r="F105" s="3492" t="s">
        <v>2721</v>
      </c>
      <c r="G105" s="3493"/>
      <c r="H105" s="2788" t="str">
        <f>C108</f>
        <v>总额（元）</v>
      </c>
      <c r="I105" s="2787">
        <f>SUMIF(I106:I108,"&lt;9E307")</f>
        <v>0</v>
      </c>
      <c r="J105" s="2829"/>
    </row>
    <row r="106" spans="1:36" ht="14.25">
      <c r="A106" s="3428" t="s">
        <v>2744</v>
      </c>
      <c r="B106" s="3429"/>
      <c r="C106" s="2786" t="str">
        <f>B101</f>
        <v>总价（元）</v>
      </c>
      <c r="D106" s="2787">
        <f ca="1">H121</f>
        <v>8839396</v>
      </c>
      <c r="E106" s="1429"/>
      <c r="F106" s="3430" t="s">
        <v>2722</v>
      </c>
      <c r="G106" s="3431"/>
      <c r="H106" s="2788" t="str">
        <f>C109</f>
        <v>总额（元）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28"/>
      <c r="B107" s="3429"/>
      <c r="C107" s="2786" t="s">
        <v>2745</v>
      </c>
      <c r="D107" s="52">
        <f ca="1">I121</f>
        <v>34075</v>
      </c>
      <c r="E107" s="1429"/>
      <c r="F107" s="3430" t="s">
        <v>2723</v>
      </c>
      <c r="G107" s="3431"/>
      <c r="H107" s="2788" t="str">
        <f>C110</f>
        <v>总额（元）</v>
      </c>
      <c r="I107" s="52">
        <f>C37</f>
        <v>0</v>
      </c>
      <c r="J107" s="2813"/>
    </row>
    <row r="108" spans="1:36" ht="12.75">
      <c r="A108" s="3435" t="s">
        <v>2721</v>
      </c>
      <c r="B108" s="3436"/>
      <c r="C108" s="2788" t="str">
        <f>IF(H19="元","总额（元）","总额（万元）")</f>
        <v>总额（元）</v>
      </c>
      <c r="D108" s="2787">
        <f>IF(D36="正常操作",I106+I107+I108,I107+I108)</f>
        <v>0</v>
      </c>
      <c r="E108" s="1429"/>
      <c r="F108" s="3430" t="s">
        <v>2748</v>
      </c>
      <c r="G108" s="3431"/>
      <c r="H108" s="2788" t="str">
        <f>C111</f>
        <v>总额（元）</v>
      </c>
      <c r="I108" s="52">
        <f>C38</f>
        <v>0</v>
      </c>
      <c r="J108" s="2813"/>
    </row>
    <row r="109" spans="1:36" ht="12.75">
      <c r="A109" s="3430" t="s">
        <v>2722</v>
      </c>
      <c r="B109" s="3431"/>
      <c r="C109" s="2788" t="str">
        <f>C108</f>
        <v>总额（元）</v>
      </c>
      <c r="D109" s="52">
        <f>IF(D36="同一抵押权人同一抵押物续贷",C36&amp;"（未扣减，详见特别提示）",C36)</f>
        <v>0</v>
      </c>
      <c r="E109" s="1429"/>
      <c r="F109" s="3428"/>
      <c r="G109" s="3429"/>
      <c r="H109" s="3490"/>
      <c r="I109" s="3491"/>
      <c r="J109" s="2831"/>
    </row>
    <row r="110" spans="1:36" ht="28.5" customHeight="1">
      <c r="A110" s="3430" t="s">
        <v>2746</v>
      </c>
      <c r="B110" s="3431"/>
      <c r="C110" s="2788" t="str">
        <f>C108</f>
        <v>总额（元）</v>
      </c>
      <c r="D110" s="52">
        <f>C37</f>
        <v>0</v>
      </c>
      <c r="E110" s="1429"/>
      <c r="F110" s="3420" t="str">
        <f>IF(项目基本情况!F5="已注销","——","3.房地产抵押价值")</f>
        <v>3.房地产抵押价值</v>
      </c>
      <c r="G110" s="3421"/>
      <c r="H110" s="2774" t="str">
        <f>C112</f>
        <v>总价（元）</v>
      </c>
      <c r="I110" s="2787">
        <f ca="1">IF(F110="——","——",I102-I105)</f>
        <v>8839396</v>
      </c>
      <c r="J110" s="2829"/>
    </row>
    <row r="111" spans="1:36" ht="12.75">
      <c r="A111" s="3430" t="s">
        <v>2725</v>
      </c>
      <c r="B111" s="3431"/>
      <c r="C111" s="2788" t="str">
        <f>C108</f>
        <v>总额（元）</v>
      </c>
      <c r="D111" s="52">
        <f>C38</f>
        <v>0</v>
      </c>
      <c r="E111" s="1429"/>
      <c r="F111" s="3519"/>
      <c r="G111" s="3520"/>
      <c r="H111" s="2786" t="s">
        <v>2720</v>
      </c>
      <c r="I111" s="2790">
        <f ca="1">D113</f>
        <v>34075</v>
      </c>
      <c r="J111" s="2832"/>
    </row>
    <row r="112" spans="1:36" ht="26.25" customHeight="1">
      <c r="A112" s="3428" t="str">
        <f>IF(项目基本情况!F5="已注销","——","3.房地产抵押价值")</f>
        <v>3.房地产抵押价值</v>
      </c>
      <c r="B112" s="3429"/>
      <c r="C112" s="2786" t="str">
        <f>B101</f>
        <v>总价（元）</v>
      </c>
      <c r="D112" s="2787">
        <f ca="1">IF(A112="——","——",D106-D108)</f>
        <v>8839396</v>
      </c>
      <c r="E112" s="1429"/>
      <c r="F112" s="3420" t="str">
        <f>IF(项目基本情况!F5="已注销及未注销","4.抵押担保权已注销时的房地产抵押价值",IF(项目基本情况!F5="已注销","3.抵押担保权已注销时的房地产抵押价值","——"))</f>
        <v>——</v>
      </c>
      <c r="G112" s="3421"/>
      <c r="H112" s="2774" t="str">
        <f>C114</f>
        <v>总价（元）</v>
      </c>
      <c r="I112" s="2787" t="str">
        <f>IF(F112="——","——",I102-I107-I108)</f>
        <v>——</v>
      </c>
      <c r="J112" s="2829"/>
    </row>
    <row r="113" spans="1:16" ht="12.75">
      <c r="A113" s="3428"/>
      <c r="B113" s="3429"/>
      <c r="C113" s="2786" t="s">
        <v>2713</v>
      </c>
      <c r="D113" s="52">
        <f ca="1">ROUND(IF(D112=D106,D107,IF(H19="元",D112/项目基本情况!C12,D112*10000/项目基本情况!C12)),0)</f>
        <v>34075</v>
      </c>
      <c r="E113" s="1429"/>
      <c r="F113" s="3519"/>
      <c r="G113" s="3520"/>
      <c r="H113" s="2786" t="s">
        <v>2749</v>
      </c>
      <c r="I113" s="52" t="str">
        <f>D115</f>
        <v>——</v>
      </c>
      <c r="J113" s="2813"/>
    </row>
    <row r="114" spans="1:16" ht="12.75">
      <c r="A114" s="3428" t="str">
        <f>IF(项目基本情况!F5="已注销及未注销","4.抵押担保权已注销时的房地产抵押价值",IF(项目基本情况!F5="已注销","3.抵押担保权已注销时的房地产抵押价值","——"))</f>
        <v>——</v>
      </c>
      <c r="B114" s="3429"/>
      <c r="C114" s="2786" t="str">
        <f>B101</f>
        <v>总价（元）</v>
      </c>
      <c r="D114" s="2787" t="str">
        <f>IF(A114="——","——",D106-D110-D111)</f>
        <v>——</v>
      </c>
      <c r="E114" s="1429"/>
      <c r="F114" s="3420" t="str">
        <f>IF(项目基本情况!G5="抵押净值",IF(OR(项目基本情况!F5="已注销",项目基本情况!F5="房地产抵押价值"),"4.抵押净值","5.抵押净值"),"——")</f>
        <v>——</v>
      </c>
      <c r="G114" s="3421"/>
      <c r="H114" s="2786" t="str">
        <f>C116</f>
        <v>总价（元）</v>
      </c>
      <c r="I114" s="2787" t="str">
        <f>IF(F114="——","——",O59)</f>
        <v>——</v>
      </c>
      <c r="J114" s="2829"/>
    </row>
    <row r="115" spans="1:16" ht="13.5" thickBot="1">
      <c r="A115" s="3428"/>
      <c r="B115" s="3429"/>
      <c r="C115" s="2786" t="s">
        <v>2713</v>
      </c>
      <c r="D115" s="52" t="str">
        <f>IF(A114="——","——",ROUND(IF(D114=D106,D107,IF(H19="元",D114/项目基本情况!C12,D114*10000/项目基本情况!C12)),0))</f>
        <v>——</v>
      </c>
      <c r="E115" s="1429"/>
      <c r="F115" s="3422"/>
      <c r="G115" s="3423"/>
      <c r="H115" s="2791" t="s">
        <v>2713</v>
      </c>
      <c r="I115" s="2775" t="str">
        <f ca="1">D117</f>
        <v>——</v>
      </c>
      <c r="J115" s="2813"/>
    </row>
    <row r="116" spans="1:16" ht="15.75">
      <c r="A116" s="3428" t="str">
        <f>IF(项目基本情况!G5="抵押净值",IF(OR(项目基本情况!F5="已注销",项目基本情况!F5="房地产抵押价值"),"4.抵押净值","5.抵押净值"),"——")</f>
        <v>——</v>
      </c>
      <c r="B116" s="3429"/>
      <c r="C116" s="2786" t="str">
        <f>B101</f>
        <v>总价（元）</v>
      </c>
      <c r="D116" s="2787" t="str">
        <f>IF(A116="——","——",O59)</f>
        <v>——</v>
      </c>
      <c r="E116" s="1429"/>
      <c r="F116" s="3514"/>
      <c r="G116" s="3514"/>
      <c r="H116" s="3478"/>
      <c r="I116" s="3478"/>
      <c r="J116" s="2833"/>
      <c r="O116" s="32"/>
      <c r="P116" s="32"/>
    </row>
    <row r="117" spans="1:16" ht="13.5" thickBot="1">
      <c r="A117" s="3433"/>
      <c r="B117" s="3434"/>
      <c r="C117" s="2791" t="s">
        <v>2713</v>
      </c>
      <c r="D117" s="2775" t="str">
        <f ca="1">IF(D116=D112,D113,IF(A116="——","——",O61))</f>
        <v>——</v>
      </c>
      <c r="E117" s="1429"/>
      <c r="F117" s="3412" t="str">
        <f>IF(B32="总价","（以上估价结果中单价为总价除以建筑面积得出）","（以上估价结果中总价为楼面单价乘以建筑面积得出）")</f>
        <v>（以上估价结果中总价为楼面单价乘以建筑面积得出）</v>
      </c>
      <c r="G117" s="3412"/>
      <c r="H117" s="3412"/>
      <c r="I117" s="3412"/>
      <c r="J117" s="2834"/>
      <c r="O117" s="32"/>
      <c r="P117" s="32"/>
    </row>
    <row r="118" spans="1:16" ht="15">
      <c r="A118" s="3479" t="s">
        <v>1817</v>
      </c>
      <c r="B118" s="3480"/>
      <c r="C118" s="3480"/>
      <c r="D118" s="3480"/>
      <c r="E118" s="3480"/>
      <c r="F118" s="3480"/>
      <c r="G118" s="3480"/>
      <c r="H118" s="3480"/>
      <c r="I118" s="3480"/>
      <c r="J118" s="2835"/>
    </row>
    <row r="119" spans="1:16" ht="12.75">
      <c r="A119" s="3413" t="s">
        <v>2731</v>
      </c>
      <c r="B119" s="3439" t="s">
        <v>2741</v>
      </c>
      <c r="C119" s="3439" t="s">
        <v>2742</v>
      </c>
      <c r="D119" s="3501" t="s">
        <v>2733</v>
      </c>
      <c r="E119" s="3502"/>
      <c r="F119" s="3414" t="s">
        <v>2743</v>
      </c>
      <c r="G119" s="3414"/>
      <c r="H119" s="3414" t="s">
        <v>2734</v>
      </c>
      <c r="I119" s="3500"/>
      <c r="J119" s="2813"/>
    </row>
    <row r="120" spans="1:16" ht="12.75">
      <c r="A120" s="3413"/>
      <c r="B120" s="3440"/>
      <c r="C120" s="3440"/>
      <c r="D120" s="2060" t="s">
        <v>2735</v>
      </c>
      <c r="E120" s="2060" t="s">
        <v>2740</v>
      </c>
      <c r="F120" s="2060" t="s">
        <v>2735</v>
      </c>
      <c r="G120" s="2060" t="s">
        <v>2736</v>
      </c>
      <c r="H120" s="2060" t="s">
        <v>2735</v>
      </c>
      <c r="I120" s="52" t="s">
        <v>2736</v>
      </c>
      <c r="J120" s="2813"/>
    </row>
    <row r="121" spans="1:16" ht="12.75">
      <c r="A121" s="2050" t="str">
        <f>项目基本情况!I1</f>
        <v>北京市房地产</v>
      </c>
      <c r="B121" s="2060">
        <f>项目基本情况!C12</f>
        <v>259.41000000000003</v>
      </c>
      <c r="C121" s="2060">
        <f>项目基本情况!C13</f>
        <v>0</v>
      </c>
      <c r="D121" s="2060">
        <f ca="1">ROUND(IF(B32="总价",C34,IF('数据-取费表'!B3="万元",E121*B121/10000,E121*B121)),0)</f>
        <v>7239355</v>
      </c>
      <c r="E121" s="2060">
        <f ca="1">ROUND(IF(B32="楼面单价",C34,IF(H19="元",D121/B121,D121*10000/B121)),0)</f>
        <v>27907</v>
      </c>
      <c r="F121" s="2060">
        <f ca="1">ROUND(IF(B32="总价",C35,IF('数据-取费表'!B3="万元",G121*B121/10000,G121*B121)),0)</f>
        <v>1600041</v>
      </c>
      <c r="G121" s="2060">
        <f ca="1">ROUND(IF(B32="楼面单价",C35,IF(H19="元",F121/B121,F121*10000/B121)),0)</f>
        <v>6168</v>
      </c>
      <c r="H121" s="2060">
        <f ca="1">ROUND(IF(B32="总价",C32,IF('数据-取费表'!B3="万元",I121*B121/10000,I121*B121)),0)</f>
        <v>8839396</v>
      </c>
      <c r="I121" s="52">
        <f ca="1">ROUND(IF(B32="楼面单价",C32,IF(H19="元",H121/B121,H121*10000/B121)),0)</f>
        <v>34075</v>
      </c>
      <c r="J121" s="2813"/>
    </row>
    <row r="122" spans="1:16" ht="12.75">
      <c r="A122" s="3413" t="s">
        <v>2737</v>
      </c>
      <c r="B122" s="3414"/>
      <c r="C122" s="3414"/>
      <c r="D122" s="3441" t="str">
        <f ca="1">IF(H19="元",NUMBERSTRING(INT(D121),2)&amp;"元整",NUMBERSTRING(INT(D121*10000),2)&amp;"元整")</f>
        <v>柒佰贰拾叁万玖仟叁佰伍拾伍元整</v>
      </c>
      <c r="E122" s="3484"/>
      <c r="F122" s="3441" t="str">
        <f ca="1">IF(H19="元",NUMBERSTRING(INT(F121),2)&amp;"元整",NUMBERSTRING(INT(F121*10000),2)&amp;"元整")</f>
        <v>壹佰陆拾万零肆拾壹元整</v>
      </c>
      <c r="G122" s="3484"/>
      <c r="H122" s="3441" t="str">
        <f ca="1">IF(H19="元",NUMBERSTRING(INT(H121),2)&amp;"元整",NUMBERSTRING(INT(H121*10000),2)&amp;"元整")</f>
        <v>捌佰捌拾叁万玖仟叁佰玖拾陆元整</v>
      </c>
      <c r="I122" s="3442"/>
      <c r="J122" s="2836"/>
    </row>
    <row r="123" spans="1:16" ht="12.75">
      <c r="A123" s="3418" t="str">
        <f>IF(项目基本情况!D5="房地产市场价值","——",MID(A108,3,LEN(A108)-2))</f>
        <v>估价师所知悉的法定优先受偿款</v>
      </c>
      <c r="B123" s="3424"/>
      <c r="C123" s="3419"/>
      <c r="D123" s="3416">
        <f>I105</f>
        <v>0</v>
      </c>
      <c r="E123" s="3424"/>
      <c r="F123" s="3424"/>
      <c r="G123" s="3424"/>
      <c r="H123" s="3424"/>
      <c r="I123" s="3417"/>
      <c r="J123" s="2829"/>
    </row>
    <row r="124" spans="1:16" ht="12.75">
      <c r="A124" s="3485" t="s">
        <v>2737</v>
      </c>
      <c r="B124" s="3453"/>
      <c r="C124" s="3454"/>
      <c r="D124" s="3425">
        <f>H109</f>
        <v>0</v>
      </c>
      <c r="E124" s="3426"/>
      <c r="F124" s="3426"/>
      <c r="G124" s="3426"/>
      <c r="H124" s="3426"/>
      <c r="I124" s="3427"/>
      <c r="J124" s="2837"/>
    </row>
    <row r="125" spans="1:16" ht="12.75">
      <c r="A125" s="3428" t="str">
        <f>IF(项目基本情况!D5="房地产市场价值","——",MID(A112,3,LEN(A112)-2))</f>
        <v>房地产抵押价值</v>
      </c>
      <c r="B125" s="3429"/>
      <c r="C125" s="3429"/>
      <c r="D125" s="3416">
        <f ca="1">I110</f>
        <v>8839396</v>
      </c>
      <c r="E125" s="3424"/>
      <c r="F125" s="3424"/>
      <c r="G125" s="3424"/>
      <c r="H125" s="3424"/>
      <c r="I125" s="3417"/>
      <c r="J125" s="2829"/>
    </row>
    <row r="126" spans="1:16" ht="12.75">
      <c r="A126" s="3413" t="s">
        <v>2737</v>
      </c>
      <c r="B126" s="3414"/>
      <c r="C126" s="3414"/>
      <c r="D126" s="3425">
        <f ca="1">I111</f>
        <v>34075</v>
      </c>
      <c r="E126" s="3426"/>
      <c r="F126" s="3426"/>
      <c r="G126" s="3426"/>
      <c r="H126" s="3426"/>
      <c r="I126" s="3427"/>
      <c r="J126" s="2837"/>
    </row>
    <row r="127" spans="1:16" ht="13.5" thickBot="1">
      <c r="A127" s="3428" t="str">
        <f>IF(项目基本情况!D5="房地产市场价值","——",MID(A114,3,LEN(A114)-2))</f>
        <v/>
      </c>
      <c r="B127" s="3429"/>
      <c r="C127" s="3429"/>
      <c r="D127" s="3461" t="str">
        <f>I112</f>
        <v>——</v>
      </c>
      <c r="E127" s="3462"/>
      <c r="F127" s="3462"/>
      <c r="G127" s="3462"/>
      <c r="H127" s="3462"/>
      <c r="I127" s="3513"/>
      <c r="J127" s="2829"/>
    </row>
    <row r="128" spans="1:16" ht="14.25" thickTop="1" thickBot="1">
      <c r="A128" s="3413" t="s">
        <v>2737</v>
      </c>
      <c r="B128" s="3414"/>
      <c r="C128" s="3415"/>
      <c r="D128" s="3477" t="str">
        <f>I113</f>
        <v>——</v>
      </c>
      <c r="E128" s="3477"/>
      <c r="F128" s="3477"/>
      <c r="G128" s="3477"/>
      <c r="H128" s="3477"/>
      <c r="I128" s="3477"/>
      <c r="J128" s="2837"/>
    </row>
    <row r="129" spans="1:10" ht="14.25" thickTop="1" thickBot="1">
      <c r="A129" s="3428" t="str">
        <f>IF(项目基本情况!D5="房地产市场价值","——",MID(F114,3,LEN(F114)-2))</f>
        <v/>
      </c>
      <c r="B129" s="3429"/>
      <c r="C129" s="3416"/>
      <c r="D129" s="3432" t="str">
        <f>I114</f>
        <v>——</v>
      </c>
      <c r="E129" s="3432"/>
      <c r="F129" s="3432"/>
      <c r="G129" s="3432"/>
      <c r="H129" s="3432"/>
      <c r="I129" s="3432"/>
      <c r="J129" s="2829"/>
    </row>
    <row r="130" spans="1:10" ht="14.25" thickTop="1" thickBot="1">
      <c r="A130" s="3437" t="s">
        <v>2737</v>
      </c>
      <c r="B130" s="3438"/>
      <c r="C130" s="3438"/>
      <c r="D130" s="3443">
        <f>H116</f>
        <v>0</v>
      </c>
      <c r="E130" s="3444"/>
      <c r="F130" s="3444"/>
      <c r="G130" s="3444"/>
      <c r="H130" s="3444"/>
      <c r="I130" s="3445"/>
      <c r="J130" s="2837"/>
    </row>
    <row r="131" spans="1:10" ht="12.75">
      <c r="A131" s="1449" t="str">
        <f>IF(H19="元","单位：平方米、元、元/平方米（币种：人民币）","单位：平方米、万元、元/平方米（币种：人民币）")</f>
        <v>单位：平方米、元、元/平方米（币种：人民币）</v>
      </c>
      <c r="B131" s="1449"/>
      <c r="C131" s="1449"/>
      <c r="D131" s="1449"/>
      <c r="E131" s="1449"/>
      <c r="F131" s="1449"/>
      <c r="G131" s="1449"/>
      <c r="H131" s="1449"/>
      <c r="I131" s="1449"/>
      <c r="J131" s="2838"/>
    </row>
    <row r="132" spans="1:10" ht="13.5" thickBot="1">
      <c r="A132" s="3411" t="str">
        <f>IF(B32="总价","（以上估价结果中楼面单价为总价除以建筑面积得出）","（以上估价结果中总价为楼面单价乘以建筑面积得出）")</f>
        <v>（以上估价结果中总价为楼面单价乘以建筑面积得出）</v>
      </c>
      <c r="B132" s="3411"/>
      <c r="C132" s="3411"/>
      <c r="D132" s="3411"/>
      <c r="E132" s="3411"/>
      <c r="F132" s="3411"/>
      <c r="G132" s="3411"/>
      <c r="H132" s="3411"/>
      <c r="I132" s="3411"/>
      <c r="J132" s="2831"/>
    </row>
    <row r="133" spans="1:10" ht="21.75" customHeight="1">
      <c r="A133" s="1459" t="s">
        <v>1818</v>
      </c>
      <c r="B133" s="1460"/>
      <c r="C133" s="1461" t="s">
        <v>1819</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9"/>
      <c r="J138" s="2840"/>
    </row>
    <row r="139" spans="1:10" ht="21.75" customHeight="1">
      <c r="A139" s="659"/>
      <c r="B139" s="659"/>
      <c r="C139" s="659"/>
      <c r="D139" s="659"/>
      <c r="E139" s="659"/>
      <c r="F139" s="1472" t="s">
        <v>1820</v>
      </c>
      <c r="G139" s="1473"/>
      <c r="H139" s="1473"/>
      <c r="I139" s="1474" t="s">
        <v>1821</v>
      </c>
      <c r="J139" s="2841"/>
    </row>
    <row r="140" spans="1:10" ht="21.75" customHeight="1">
      <c r="A140" s="659"/>
      <c r="B140" s="1475"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3"/>
      <c r="C142" s="1473"/>
      <c r="D142" s="1473"/>
      <c r="E142" s="1473"/>
      <c r="F142" s="1473"/>
      <c r="G142" s="1473"/>
      <c r="H142" s="1473"/>
      <c r="I142" s="1474" t="s">
        <v>1823</v>
      </c>
      <c r="J142" s="2841"/>
    </row>
    <row r="143" spans="1:10" ht="21.75" customHeight="1">
      <c r="A143" s="659"/>
      <c r="B143" s="1475" t="s">
        <v>1824</v>
      </c>
      <c r="C143" s="659"/>
      <c r="D143" s="659"/>
      <c r="E143" s="659"/>
      <c r="F143" s="659"/>
      <c r="G143" s="659"/>
      <c r="H143" s="659"/>
      <c r="I143" s="659"/>
      <c r="J143" s="2840"/>
    </row>
    <row r="144" spans="1:10" ht="21.75" customHeight="1">
      <c r="A144" s="659"/>
      <c r="B144" s="1475"/>
      <c r="C144" s="659"/>
      <c r="D144" s="659"/>
      <c r="E144" s="659"/>
      <c r="F144" s="659"/>
      <c r="G144" s="659"/>
      <c r="H144" s="659"/>
      <c r="I144" s="659"/>
      <c r="J144" s="2840"/>
    </row>
    <row r="145" spans="1:36" ht="21.75" customHeight="1">
      <c r="A145" s="659"/>
      <c r="B145" s="1473"/>
      <c r="C145" s="1473"/>
      <c r="D145" s="1473"/>
      <c r="E145" s="1473"/>
      <c r="F145" s="1473"/>
      <c r="G145" s="1473"/>
      <c r="H145" s="1473"/>
      <c r="I145" s="1474" t="s">
        <v>1823</v>
      </c>
      <c r="J145" s="2841"/>
    </row>
    <row r="146" spans="1:36" ht="21.75" customHeight="1">
      <c r="A146" s="659"/>
      <c r="B146" s="1475"/>
      <c r="C146" s="1476"/>
      <c r="D146" s="1477"/>
      <c r="E146" s="1477"/>
      <c r="F146" s="1478"/>
      <c r="G146" s="659"/>
      <c r="H146" s="659"/>
      <c r="I146" s="659"/>
      <c r="J146" s="2840"/>
    </row>
    <row r="147" spans="1:36" s="32" customFormat="1" ht="21.75" customHeight="1">
      <c r="A147" s="659"/>
      <c r="B147" s="1475"/>
      <c r="C147" s="1476"/>
      <c r="D147" s="1477"/>
      <c r="E147" s="1477"/>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6"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6"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6"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6"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6"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6"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6"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6"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6"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6"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6"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6"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6"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6"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6"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6"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6"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6"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6"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6"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6"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6"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6"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6"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6"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6"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6"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6"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6"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6"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6"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6"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6"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6"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6"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6"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6"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6"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6"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6"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6"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6"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6"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6"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6"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6"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6"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6"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6"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6"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6"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6"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6"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6"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6"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6"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6"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6"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6"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6"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6"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6"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6"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6"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6"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6"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6"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6"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6"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6"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6"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6"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6"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6"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6"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6"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6"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6"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6"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6"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6"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6"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6"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6"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6"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6"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6"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6"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6"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6"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6"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6"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6"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6"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6"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6"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6"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6"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6"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6"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6"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6"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6"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6"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6"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6"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6"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6"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6"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6"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6"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6"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6"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6" customFormat="1" ht="21.75" customHeight="1">
      <c r="F516" s="1430"/>
      <c r="G516" s="1430"/>
      <c r="H516" s="1430"/>
      <c r="I516" s="1430"/>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37" sqref="F37"/>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9" customWidth="1"/>
    <col min="13" max="13" width="12.625" style="659"/>
    <col min="14" max="14" width="14.125" style="659" bestFit="1" customWidth="1"/>
    <col min="15" max="27" width="12.625" style="659"/>
    <col min="28" max="36" width="12.625" style="1276"/>
    <col min="37" max="16384" width="12.625" style="1430"/>
  </cols>
  <sheetData>
    <row r="1" spans="1:15" ht="21.75" customHeight="1">
      <c r="A1" s="1428" t="s">
        <v>1825</v>
      </c>
      <c r="B1" s="1429"/>
      <c r="C1" s="1429"/>
      <c r="D1" s="1429"/>
      <c r="E1" s="1429"/>
      <c r="F1" s="1429"/>
      <c r="G1" s="1429"/>
      <c r="H1" s="1429"/>
      <c r="I1" s="1429"/>
    </row>
    <row r="2" spans="1:15" ht="21.75" customHeight="1">
      <c r="A2" s="3545" t="s">
        <v>1826</v>
      </c>
      <c r="B2" s="3545"/>
      <c r="C2" s="3545"/>
      <c r="D2" s="3545"/>
      <c r="E2" s="3545"/>
      <c r="F2" s="3545"/>
      <c r="G2" s="3545"/>
      <c r="H2" s="3545"/>
      <c r="I2" s="3545"/>
      <c r="J2" s="2842"/>
    </row>
    <row r="3" spans="1:15" ht="12.75">
      <c r="A3" s="3469" t="s">
        <v>1654</v>
      </c>
      <c r="B3" s="3470"/>
      <c r="C3" s="3470"/>
      <c r="D3" s="3470"/>
      <c r="E3" s="3470"/>
      <c r="F3" s="3470"/>
      <c r="G3" s="3470"/>
      <c r="H3" s="3470"/>
      <c r="I3" s="3470"/>
      <c r="J3" s="2812"/>
    </row>
    <row r="4" spans="1:15" ht="14.25">
      <c r="A4" s="2680" t="s">
        <v>1655</v>
      </c>
      <c r="B4" s="2680" t="s">
        <v>1656</v>
      </c>
      <c r="C4" s="2681" t="s">
        <v>2985</v>
      </c>
      <c r="D4" s="2681" t="s">
        <v>2986</v>
      </c>
      <c r="E4" s="3415" t="s">
        <v>1827</v>
      </c>
      <c r="F4" s="3453"/>
      <c r="G4" s="3453"/>
      <c r="H4" s="3453"/>
      <c r="I4" s="3454"/>
      <c r="J4" s="2813"/>
      <c r="L4" s="1429" t="str">
        <f>IF(ISNUMBER(FIND("比较法",'结果表 (1修多)'!C4)),"比较法",IF(ISNUMBER(FIND("成本法",'结果表 (1修多)'!C4)),"成本法",IF(ISNUMBER(FIND("假设开发法",'结果表 (1修多)'!C4)),"假设开发法",IF(ISNUMBER(FIND("收益法",'结果表 (1修多)'!C4)),"收益法","基准地价系数修正法"))))</f>
        <v>成本法</v>
      </c>
      <c r="M4" s="1429" t="str">
        <f>IF(ISNUMBER(FIND("比较法",'结果表 (1修多)'!D4)),"比较法",IF(ISNUMBER(FIND("成本法",'结果表 (1修多)'!D4)),"成本法",IF(ISNUMBER(FIND("假设开发法",'结果表 (1修多)'!D4)),"假设开发法",IF(ISNUMBER(FIND("收益法",'结果表 (1修多)'!D4)),"收益法","基准地价系数修正法"))))</f>
        <v>收益法</v>
      </c>
      <c r="N4" s="1429"/>
      <c r="O4" s="1429"/>
    </row>
    <row r="5" spans="1:15" ht="12.75">
      <c r="A5" s="3446" t="s">
        <v>1658</v>
      </c>
      <c r="B5" s="3446">
        <v>25</v>
      </c>
      <c r="C5" s="3455"/>
      <c r="D5" s="3468"/>
      <c r="E5" s="12" t="s">
        <v>1659</v>
      </c>
      <c r="F5" s="2057"/>
      <c r="G5" s="2057"/>
      <c r="H5" s="2057"/>
      <c r="I5" s="2052"/>
      <c r="J5" s="2813"/>
    </row>
    <row r="6" spans="1:15" ht="12.75">
      <c r="A6" s="3446"/>
      <c r="B6" s="3446"/>
      <c r="C6" s="3471"/>
      <c r="D6" s="3468"/>
      <c r="E6" s="12" t="s">
        <v>1660</v>
      </c>
      <c r="F6" s="2057"/>
      <c r="G6" s="2057"/>
      <c r="H6" s="2057"/>
      <c r="I6" s="2052"/>
      <c r="J6" s="2813"/>
    </row>
    <row r="7" spans="1:15" ht="12.75">
      <c r="A7" s="3446"/>
      <c r="B7" s="3446"/>
      <c r="C7" s="3456"/>
      <c r="D7" s="3468"/>
      <c r="E7" s="12" t="s">
        <v>1661</v>
      </c>
      <c r="F7" s="2057"/>
      <c r="G7" s="2057"/>
      <c r="H7" s="2057"/>
      <c r="I7" s="2052"/>
      <c r="J7" s="2813"/>
    </row>
    <row r="8" spans="1:15" ht="12.75">
      <c r="A8" s="3446" t="s">
        <v>1662</v>
      </c>
      <c r="B8" s="3446">
        <v>15</v>
      </c>
      <c r="C8" s="3455"/>
      <c r="D8" s="3468"/>
      <c r="E8" s="12" t="s">
        <v>1663</v>
      </c>
      <c r="F8" s="2057"/>
      <c r="G8" s="2057"/>
      <c r="H8" s="2057"/>
      <c r="I8" s="2052"/>
      <c r="J8" s="2813"/>
    </row>
    <row r="9" spans="1:15" ht="12.75">
      <c r="A9" s="3446"/>
      <c r="B9" s="3446"/>
      <c r="C9" s="3456"/>
      <c r="D9" s="3468"/>
      <c r="E9" s="12" t="s">
        <v>1664</v>
      </c>
      <c r="F9" s="2057"/>
      <c r="G9" s="2057"/>
      <c r="H9" s="2057"/>
      <c r="I9" s="2052"/>
      <c r="J9" s="2813"/>
    </row>
    <row r="10" spans="1:15" ht="12.75">
      <c r="A10" s="3446" t="s">
        <v>1665</v>
      </c>
      <c r="B10" s="3446">
        <v>15</v>
      </c>
      <c r="C10" s="3455"/>
      <c r="D10" s="3468"/>
      <c r="E10" s="12" t="s">
        <v>1666</v>
      </c>
      <c r="F10" s="2057"/>
      <c r="G10" s="2057"/>
      <c r="H10" s="2057"/>
      <c r="I10" s="2052"/>
      <c r="J10" s="2813"/>
    </row>
    <row r="11" spans="1:15" ht="12.75">
      <c r="A11" s="3446"/>
      <c r="B11" s="3446"/>
      <c r="C11" s="3456"/>
      <c r="D11" s="3468"/>
      <c r="E11" s="12" t="s">
        <v>1667</v>
      </c>
      <c r="F11" s="2057"/>
      <c r="G11" s="2057"/>
      <c r="H11" s="2057"/>
      <c r="I11" s="2052"/>
      <c r="J11" s="2813"/>
    </row>
    <row r="12" spans="1:15" ht="12.75">
      <c r="A12" s="3446" t="s">
        <v>1668</v>
      </c>
      <c r="B12" s="3446">
        <v>15</v>
      </c>
      <c r="C12" s="3455"/>
      <c r="D12" s="3468"/>
      <c r="E12" s="12" t="s">
        <v>1669</v>
      </c>
      <c r="F12" s="2057"/>
      <c r="G12" s="2057"/>
      <c r="H12" s="2057"/>
      <c r="I12" s="2052"/>
      <c r="J12" s="2813"/>
    </row>
    <row r="13" spans="1:15" ht="12.75">
      <c r="A13" s="3446"/>
      <c r="B13" s="3446"/>
      <c r="C13" s="3456"/>
      <c r="D13" s="3468"/>
      <c r="E13" s="12" t="s">
        <v>1670</v>
      </c>
      <c r="F13" s="2057"/>
      <c r="G13" s="2057"/>
      <c r="H13" s="2057"/>
      <c r="I13" s="2052"/>
      <c r="J13" s="2813"/>
    </row>
    <row r="14" spans="1:15" ht="12.75">
      <c r="A14" s="3446" t="s">
        <v>1671</v>
      </c>
      <c r="B14" s="3446">
        <v>30</v>
      </c>
      <c r="C14" s="3455">
        <v>3</v>
      </c>
      <c r="D14" s="3468">
        <v>7</v>
      </c>
      <c r="E14" s="12" t="s">
        <v>1672</v>
      </c>
      <c r="F14" s="2057"/>
      <c r="G14" s="2057"/>
      <c r="H14" s="2057"/>
      <c r="I14" s="2052"/>
      <c r="J14" s="2813"/>
    </row>
    <row r="15" spans="1:15" ht="12.75">
      <c r="A15" s="3446"/>
      <c r="B15" s="3446"/>
      <c r="C15" s="3471"/>
      <c r="D15" s="3468"/>
      <c r="E15" s="12" t="s">
        <v>1673</v>
      </c>
      <c r="F15" s="2057"/>
      <c r="G15" s="2057"/>
      <c r="H15" s="2057"/>
      <c r="I15" s="2052"/>
      <c r="J15" s="2813"/>
    </row>
    <row r="16" spans="1:15" ht="12.75">
      <c r="A16" s="3446"/>
      <c r="B16" s="3446"/>
      <c r="C16" s="3456"/>
      <c r="D16" s="3468"/>
      <c r="E16" s="12" t="s">
        <v>1674</v>
      </c>
      <c r="F16" s="2057"/>
      <c r="G16" s="2057"/>
      <c r="H16" s="2057"/>
      <c r="I16" s="2052"/>
      <c r="J16" s="2813"/>
    </row>
    <row r="17" spans="1:36" ht="15">
      <c r="A17" s="2682" t="s">
        <v>1675</v>
      </c>
      <c r="B17" s="2062"/>
      <c r="C17" s="2683">
        <f>SUM(C5:C16)</f>
        <v>3</v>
      </c>
      <c r="D17" s="2683">
        <f>SUM(D5:D16)</f>
        <v>7</v>
      </c>
      <c r="E17" s="2531"/>
      <c r="F17" s="2531"/>
      <c r="G17" s="2531"/>
      <c r="H17" s="2531"/>
      <c r="I17" s="2531"/>
      <c r="J17" s="2814"/>
    </row>
    <row r="18" spans="1:36" ht="32.450000000000003" customHeight="1" thickBot="1">
      <c r="A18" s="2684" t="s">
        <v>1676</v>
      </c>
      <c r="B18" s="2685"/>
      <c r="C18" s="2686">
        <f>ROUND(C17/SUM(C17:D17),2)</f>
        <v>0.3</v>
      </c>
      <c r="D18" s="2686">
        <f>1-C18</f>
        <v>0.7</v>
      </c>
      <c r="E18" s="3464" t="s">
        <v>2756</v>
      </c>
      <c r="F18" s="3465"/>
      <c r="G18" s="3465"/>
      <c r="H18" s="3465"/>
      <c r="I18" s="3465"/>
      <c r="J18" s="2814"/>
    </row>
    <row r="19" spans="1:36" ht="15">
      <c r="A19" s="2687" t="s">
        <v>1677</v>
      </c>
      <c r="B19" s="2688" t="s">
        <v>1678</v>
      </c>
      <c r="C19" s="2689">
        <f ca="1">SUMIF(INDIRECT("'"&amp;C4&amp;"'"&amp;"!A:A"),'结果表 (1修多)'!B19,INDIRECT("'"&amp;C4&amp;"'"&amp;"!B:B"))</f>
        <v>14970551</v>
      </c>
      <c r="D19" s="2690">
        <f ca="1">SUMIF(INDIRECT("'"&amp;D4&amp;"'"&amp;"!A:A"),'结果表 (1修多)'!B19,INDIRECT("'"&amp;D4&amp;"'"&amp;"!B:B"))</f>
        <v>6211867</v>
      </c>
      <c r="E19" s="2687" t="s">
        <v>1679</v>
      </c>
      <c r="F19" s="2688" t="s">
        <v>1678</v>
      </c>
      <c r="G19" s="2691">
        <f ca="1">ROUND(C19*$C$18+D19*$D$18,0)</f>
        <v>8839472</v>
      </c>
      <c r="H19" s="2692" t="str">
        <f>'数据-取费表'!B3</f>
        <v>元</v>
      </c>
      <c r="I19" s="2531"/>
      <c r="J19" s="2814"/>
      <c r="K19" s="3316" t="s">
        <v>3011</v>
      </c>
    </row>
    <row r="20" spans="1:36" ht="15">
      <c r="A20" s="2693"/>
      <c r="B20" s="1662" t="s">
        <v>1680</v>
      </c>
      <c r="C20" s="1887">
        <f ca="1">SUMIF(INDIRECT("'"&amp;C4&amp;"'"&amp;"!A:A"),'结果表 (1修多)'!B20,INDIRECT("'"&amp;C4&amp;"'"&amp;"!B:B"))</f>
        <v>57710</v>
      </c>
      <c r="D20" s="1890">
        <f ca="1">SUMIF(INDIRECT("'"&amp;D4&amp;"'"&amp;"!A:A"),'结果表 (1修多)'!B20,INDIRECT("'"&amp;D4&amp;"'"&amp;"!B:B"))</f>
        <v>23946</v>
      </c>
      <c r="E20" s="2693"/>
      <c r="F20" s="1662" t="s">
        <v>1680</v>
      </c>
      <c r="G20" s="2061">
        <f ca="1">ROUND(C20*$C$18+D20*$D$18,0)</f>
        <v>34075</v>
      </c>
      <c r="H20" s="2694" t="s">
        <v>1681</v>
      </c>
      <c r="I20" s="2531"/>
      <c r="J20" s="2814"/>
      <c r="K20" s="659">
        <v>34000</v>
      </c>
    </row>
    <row r="21" spans="1:36" ht="15" customHeight="1" thickBot="1">
      <c r="A21" s="2695"/>
      <c r="B21" s="2696"/>
      <c r="C21" s="2696"/>
      <c r="D21" s="2697"/>
      <c r="E21" s="2695"/>
      <c r="F21" s="2696"/>
      <c r="G21" s="2698"/>
      <c r="H21" s="2699"/>
      <c r="I21" s="2531"/>
      <c r="J21" s="2814"/>
    </row>
    <row r="22" spans="1:36" ht="15" thickBot="1">
      <c r="A22" s="2700" t="s">
        <v>1682</v>
      </c>
      <c r="B22" s="2701"/>
      <c r="C22" s="2614"/>
      <c r="D22" s="2702">
        <f ca="1">IF(C19&lt;D19,D19/C19-1,C19/D19-1)</f>
        <v>1.409992197192889</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457" t="s">
        <v>1683</v>
      </c>
      <c r="B24" s="2688" t="s">
        <v>1678</v>
      </c>
      <c r="C24" s="2691">
        <f>D30</f>
        <v>0</v>
      </c>
      <c r="D24" s="2643"/>
      <c r="E24" s="945"/>
      <c r="F24" s="945"/>
      <c r="G24" s="945"/>
      <c r="H24" s="945"/>
      <c r="I24" s="945"/>
      <c r="J24" s="2814"/>
    </row>
    <row r="25" spans="1:36" ht="21.75" customHeight="1">
      <c r="A25" s="3474"/>
      <c r="B25" s="1662" t="s">
        <v>1680</v>
      </c>
      <c r="C25" s="2703">
        <f>IF(B30=0,0,C30)</f>
        <v>0</v>
      </c>
      <c r="D25" s="2704"/>
      <c r="E25" s="945"/>
      <c r="F25" s="945"/>
      <c r="G25" s="945"/>
      <c r="H25" s="945"/>
      <c r="I25" s="945"/>
      <c r="J25" s="2814"/>
    </row>
    <row r="26" spans="1:36" ht="13.5" customHeight="1">
      <c r="A26" s="2705" t="s">
        <v>1684</v>
      </c>
      <c r="B26" s="2706" t="s">
        <v>1685</v>
      </c>
      <c r="C26" s="2706" t="s">
        <v>1686</v>
      </c>
      <c r="D26" s="2707" t="s">
        <v>1687</v>
      </c>
      <c r="E26" s="945"/>
      <c r="F26" s="945"/>
      <c r="G26" s="945"/>
      <c r="H26" s="945"/>
      <c r="I26" s="945"/>
      <c r="J26" s="2814"/>
    </row>
    <row r="27" spans="1:36" ht="14.25">
      <c r="A27" s="2708" t="s">
        <v>1828</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1829</v>
      </c>
      <c r="B30" s="2742"/>
      <c r="C30" s="2742"/>
      <c r="D30" s="2742"/>
      <c r="E30" s="2709" t="s">
        <v>2760</v>
      </c>
      <c r="F30" s="2531"/>
      <c r="G30" s="2531"/>
      <c r="H30" s="2531"/>
      <c r="I30" s="2531"/>
      <c r="J30" s="2814"/>
    </row>
    <row r="31" spans="1:36" s="2807" customFormat="1" ht="27.6"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22" t="s">
        <v>1830</v>
      </c>
      <c r="B32" s="3522"/>
      <c r="C32" s="3522"/>
      <c r="D32" s="3522"/>
      <c r="E32" s="3522"/>
      <c r="F32" s="3522"/>
      <c r="G32" s="3522"/>
      <c r="H32" s="3522"/>
      <c r="I32" s="3522"/>
      <c r="J32" s="2843"/>
      <c r="K32" s="659"/>
      <c r="L32" s="659"/>
      <c r="M32" s="659"/>
      <c r="N32" s="659"/>
      <c r="O32" s="659"/>
      <c r="P32" s="659"/>
      <c r="Q32" s="659"/>
      <c r="R32" s="659"/>
      <c r="S32" s="659"/>
      <c r="T32" s="659"/>
      <c r="U32" s="659"/>
      <c r="V32" s="659"/>
      <c r="W32" s="659"/>
      <c r="X32" s="659"/>
      <c r="Y32" s="659"/>
      <c r="Z32" s="659"/>
      <c r="AA32" s="659"/>
      <c r="AB32" s="1276"/>
      <c r="AC32" s="1276"/>
      <c r="AD32" s="1276"/>
      <c r="AE32" s="1276"/>
      <c r="AF32" s="1276"/>
      <c r="AG32" s="1276"/>
      <c r="AH32" s="1276"/>
      <c r="AI32" s="1276"/>
      <c r="AJ32" s="1276"/>
    </row>
    <row r="33" spans="1:16" ht="15">
      <c r="A33" s="1479"/>
      <c r="B33" s="2743" t="s">
        <v>1831</v>
      </c>
      <c r="C33" s="2744">
        <f ca="1">典型户型修正!R27</f>
        <v>34075</v>
      </c>
      <c r="D33" s="2531" t="s">
        <v>1832</v>
      </c>
      <c r="E33" s="945"/>
      <c r="F33" s="945"/>
      <c r="G33" s="945"/>
      <c r="H33" s="945"/>
      <c r="I33" s="945"/>
      <c r="J33" s="2814"/>
    </row>
    <row r="34" spans="1:16" ht="15">
      <c r="A34" s="1480" t="s">
        <v>1833</v>
      </c>
      <c r="B34" s="2745" t="s">
        <v>1834</v>
      </c>
      <c r="C34" s="2746">
        <f ca="1">典型户型修正!B2</f>
        <v>15562394</v>
      </c>
      <c r="D34" s="2747" t="str">
        <f>IF('数据-取费表'!B3="万元","万元","元")</f>
        <v>元</v>
      </c>
      <c r="E34" s="945"/>
      <c r="F34" s="945"/>
      <c r="G34" s="945"/>
      <c r="H34" s="945"/>
      <c r="I34" s="945"/>
      <c r="J34" s="2814"/>
    </row>
    <row r="35" spans="1:16" ht="15.75" thickBot="1">
      <c r="A35" s="1481"/>
      <c r="B35" s="2748" t="s">
        <v>1835</v>
      </c>
      <c r="C35" s="2697">
        <f ca="1">典型户型修正!B3</f>
        <v>340750016</v>
      </c>
      <c r="D35" s="2531" t="s">
        <v>1836</v>
      </c>
      <c r="E35" s="945"/>
      <c r="F35" s="945"/>
      <c r="G35" s="945"/>
      <c r="H35" s="945"/>
      <c r="I35" s="945"/>
      <c r="J35" s="2814"/>
    </row>
    <row r="36" spans="1:16" ht="15">
      <c r="A36" s="1482"/>
      <c r="B36" s="1436" t="s">
        <v>1837</v>
      </c>
      <c r="C36" s="2749">
        <f>IF('数据-取费表'!B3="万元",典型户型修正!V25,典型户型修正!U25)</f>
        <v>0</v>
      </c>
      <c r="D36" s="2531" t="str">
        <f>D34</f>
        <v>元</v>
      </c>
      <c r="E36" s="945"/>
      <c r="F36" s="945"/>
      <c r="G36" s="945"/>
      <c r="H36" s="945"/>
      <c r="I36" s="945"/>
      <c r="J36" s="2814"/>
    </row>
    <row r="37" spans="1:16" ht="15.75" thickBot="1">
      <c r="A37" s="1435"/>
      <c r="B37" s="1437" t="s">
        <v>1838</v>
      </c>
      <c r="C37" s="2750">
        <f>IF('数据-取费表'!B3="万元",典型户型修正!Y25,典型户型修正!X25)</f>
        <v>0</v>
      </c>
      <c r="D37" s="2531" t="str">
        <f>D34</f>
        <v>元</v>
      </c>
      <c r="E37" s="945"/>
      <c r="F37" s="945"/>
      <c r="G37" s="945"/>
      <c r="H37" s="945"/>
      <c r="I37" s="945"/>
      <c r="J37" s="2814"/>
    </row>
    <row r="38" spans="1:16" ht="15.75" thickBot="1">
      <c r="A38" s="3457" t="s">
        <v>1839</v>
      </c>
      <c r="B38" s="1436" t="s">
        <v>1840</v>
      </c>
      <c r="C38" s="2724"/>
      <c r="D38" s="2725"/>
      <c r="E38" s="1648"/>
      <c r="F38" s="1648"/>
      <c r="G38" s="945"/>
      <c r="H38" s="945"/>
      <c r="I38" s="945"/>
      <c r="J38" s="2814"/>
    </row>
    <row r="39" spans="1:16" ht="15.75" thickBot="1">
      <c r="A39" s="3458"/>
      <c r="B39" s="2062" t="s">
        <v>1841</v>
      </c>
      <c r="C39" s="2726"/>
      <c r="D39" s="1279"/>
      <c r="E39" s="1279"/>
      <c r="F39" s="1648"/>
      <c r="G39" s="1279"/>
      <c r="H39" s="1279"/>
      <c r="I39" s="1279"/>
      <c r="J39" s="2818"/>
    </row>
    <row r="40" spans="1:16" ht="15.75" thickBot="1">
      <c r="A40" s="3459"/>
      <c r="B40" s="1437" t="s">
        <v>1842</v>
      </c>
      <c r="C40" s="2727"/>
      <c r="D40" s="2728" t="s">
        <v>1843</v>
      </c>
      <c r="E40" s="1279"/>
      <c r="F40" s="1648"/>
      <c r="G40" s="1279"/>
      <c r="H40" s="1279"/>
      <c r="I40" s="1279"/>
      <c r="J40" s="2818"/>
    </row>
    <row r="41" spans="1:16" ht="15">
      <c r="A41" s="2693" t="s">
        <v>1844</v>
      </c>
      <c r="B41" s="2729" t="s">
        <v>1845</v>
      </c>
      <c r="C41" s="2730" t="s">
        <v>1846</v>
      </c>
      <c r="D41" s="2730" t="s">
        <v>1847</v>
      </c>
      <c r="E41" s="2731" t="s">
        <v>1848</v>
      </c>
      <c r="F41" s="1648"/>
      <c r="G41" s="1279"/>
      <c r="H41" s="1279"/>
      <c r="I41" s="1279"/>
      <c r="J41" s="2818"/>
    </row>
    <row r="42" spans="1:16" ht="14.25">
      <c r="A42" s="2732" t="s">
        <v>1849</v>
      </c>
      <c r="B42" s="2733"/>
      <c r="C42" s="2734"/>
      <c r="D42" s="2734"/>
      <c r="E42" s="2735"/>
      <c r="F42" s="1648"/>
      <c r="G42" s="1279"/>
      <c r="H42" s="1279"/>
      <c r="I42" s="1279"/>
      <c r="J42" s="2818"/>
    </row>
    <row r="43" spans="1:16" ht="14.25">
      <c r="A43" s="2732" t="s">
        <v>1850</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hidden="1">
      <c r="A46" s="1439" t="s">
        <v>1851</v>
      </c>
      <c r="B46" s="1440"/>
      <c r="C46" s="1440"/>
      <c r="D46" s="2751"/>
      <c r="E46" s="2751"/>
      <c r="F46" s="2751"/>
      <c r="G46" s="2751"/>
      <c r="H46" s="2751"/>
      <c r="I46" s="2808" t="s">
        <v>2755</v>
      </c>
      <c r="J46" s="2844"/>
      <c r="K46" s="1443" t="s">
        <v>1706</v>
      </c>
      <c r="L46" s="1444"/>
      <c r="M46" s="1444"/>
      <c r="N46" s="1444"/>
      <c r="O46" s="1444"/>
      <c r="P46" s="1444"/>
    </row>
    <row r="47" spans="1:16" ht="14.25" hidden="1" customHeight="1" thickBot="1">
      <c r="A47" s="3461" t="s">
        <v>1852</v>
      </c>
      <c r="B47" s="3462"/>
      <c r="C47" s="3421"/>
      <c r="D47" s="246">
        <f ca="1">ROUND(I104*F47,0)</f>
        <v>15562394</v>
      </c>
      <c r="E47" s="1510" t="s">
        <v>1853</v>
      </c>
      <c r="F47" s="2529">
        <v>1</v>
      </c>
      <c r="G47" s="2530" t="s">
        <v>1854</v>
      </c>
      <c r="H47" s="945"/>
      <c r="I47" s="945"/>
      <c r="J47" s="2814"/>
      <c r="K47" s="3547" t="s">
        <v>1710</v>
      </c>
      <c r="L47" s="3547"/>
      <c r="M47" s="3547"/>
      <c r="N47" s="3547"/>
      <c r="O47" s="3547"/>
      <c r="P47" s="3547"/>
    </row>
    <row r="48" spans="1:16" ht="14.25" hidden="1" customHeight="1">
      <c r="A48" s="3450" t="s">
        <v>1711</v>
      </c>
      <c r="B48" s="3451"/>
      <c r="C48" s="3451"/>
      <c r="D48" s="3451"/>
      <c r="E48" s="3451"/>
      <c r="F48" s="3451"/>
      <c r="G48" s="3452"/>
      <c r="H48" s="2946"/>
      <c r="I48" s="945"/>
      <c r="J48" s="2814"/>
      <c r="K48" s="2481">
        <v>1</v>
      </c>
      <c r="L48" s="3542" t="s">
        <v>1712</v>
      </c>
      <c r="M48" s="3542"/>
      <c r="N48" s="3548"/>
      <c r="O48" s="3548"/>
      <c r="P48" s="3548"/>
    </row>
    <row r="49" spans="1:17" ht="12" hidden="1" customHeight="1">
      <c r="A49" s="38" t="s">
        <v>1713</v>
      </c>
      <c r="B49" s="39"/>
      <c r="C49" s="40"/>
      <c r="D49" s="1068" t="s">
        <v>1714</v>
      </c>
      <c r="E49" s="235" t="s">
        <v>1715</v>
      </c>
      <c r="F49" s="41" t="s">
        <v>1716</v>
      </c>
      <c r="G49" s="2532" t="s">
        <v>1717</v>
      </c>
      <c r="H49" s="2946"/>
      <c r="I49" s="945"/>
      <c r="J49" s="2814"/>
      <c r="K49" s="2481">
        <v>2</v>
      </c>
      <c r="L49" s="3542" t="s">
        <v>1718</v>
      </c>
      <c r="M49" s="3542"/>
      <c r="N49" s="3549">
        <f>'数据-取费表'!B2</f>
        <v>44636</v>
      </c>
      <c r="O49" s="3549"/>
      <c r="P49" s="3549"/>
    </row>
    <row r="50" spans="1:17" ht="25.5" hidden="1">
      <c r="A50" s="3460" t="s">
        <v>1719</v>
      </c>
      <c r="B50" s="3414"/>
      <c r="C50" s="3414"/>
      <c r="D50" s="12">
        <f ca="1">IF(H50="情况1",0,IF(H50="情况2",D54,IF(H50="情况3",D55,IF(H50="情况4",D56))))</f>
        <v>829994</v>
      </c>
      <c r="E50" s="2060" t="str">
        <f>IF(H50="情况4","(销售额-原购置价)×税（费）率","销售额×税（费）率")</f>
        <v>销售额×税（费）率</v>
      </c>
      <c r="F50" s="2533">
        <f>IF(H50="情况1","免征",'数据-取费表'!E29)</f>
        <v>5.6000000000000001E-2</v>
      </c>
      <c r="G50" s="2534" t="s">
        <v>1720</v>
      </c>
      <c r="H50" s="2535" t="s">
        <v>1721</v>
      </c>
      <c r="I50" s="2946"/>
      <c r="J50" s="2821"/>
      <c r="K50" s="2481">
        <v>3</v>
      </c>
      <c r="L50" s="3542" t="s">
        <v>1722</v>
      </c>
      <c r="M50" s="3542"/>
      <c r="N50" s="3543">
        <f ca="1">I104</f>
        <v>15562394</v>
      </c>
      <c r="O50" s="3543"/>
      <c r="P50" s="3543"/>
    </row>
    <row r="51" spans="1:17" ht="25.5" hidden="1" customHeight="1">
      <c r="A51" s="2059" t="s">
        <v>1723</v>
      </c>
      <c r="B51" s="3453" t="s">
        <v>1724</v>
      </c>
      <c r="C51" s="3453"/>
      <c r="D51" s="2536">
        <v>0</v>
      </c>
      <c r="E51" s="261" t="s">
        <v>1725</v>
      </c>
      <c r="F51" s="2537" t="s">
        <v>48</v>
      </c>
      <c r="G51" s="3510"/>
      <c r="H51" s="2538" t="s">
        <v>2680</v>
      </c>
      <c r="I51" s="2539"/>
      <c r="J51" s="2822"/>
      <c r="K51" s="2481">
        <v>4</v>
      </c>
      <c r="L51" s="3542" t="str">
        <f>IF(项目基本情况!F5="房地产抵押价值","房地产抵押价值","抵押担保权已注销时的房地产抵押价值")</f>
        <v>房地产抵押价值</v>
      </c>
      <c r="M51" s="3542"/>
      <c r="N51" s="3543">
        <f ca="1">IF(项目基本情况!F5="房地产抵押价值",I112,I114)</f>
        <v>15562394</v>
      </c>
      <c r="O51" s="3543"/>
      <c r="P51" s="3543"/>
    </row>
    <row r="52" spans="1:17" ht="25.5" hidden="1" customHeight="1">
      <c r="A52" s="2049"/>
      <c r="B52" s="3453" t="s">
        <v>1726</v>
      </c>
      <c r="C52" s="3453"/>
      <c r="D52" s="2540"/>
      <c r="E52" s="269"/>
      <c r="F52" s="2537"/>
      <c r="G52" s="3511"/>
      <c r="H52" s="2541" t="s">
        <v>2681</v>
      </c>
      <c r="I52" s="2539"/>
      <c r="J52" s="2822"/>
      <c r="K52" s="3542" t="s">
        <v>1727</v>
      </c>
      <c r="L52" s="3542"/>
      <c r="M52" s="3542"/>
      <c r="N52" s="3542"/>
      <c r="O52" s="3542"/>
      <c r="P52" s="3542"/>
    </row>
    <row r="53" spans="1:17" ht="20.45" hidden="1" customHeight="1">
      <c r="A53" s="2542"/>
      <c r="B53" s="3453" t="s">
        <v>1728</v>
      </c>
      <c r="C53" s="3453"/>
      <c r="D53" s="1068"/>
      <c r="E53" s="264"/>
      <c r="F53" s="2537"/>
      <c r="G53" s="3512"/>
      <c r="H53" s="2541" t="s">
        <v>2682</v>
      </c>
      <c r="I53" s="2539"/>
      <c r="J53" s="2822"/>
      <c r="K53" s="2482" t="s">
        <v>1729</v>
      </c>
      <c r="L53" s="3542" t="s">
        <v>1730</v>
      </c>
      <c r="M53" s="3542"/>
      <c r="N53" s="2482" t="s">
        <v>1731</v>
      </c>
      <c r="O53" s="2482" t="s">
        <v>1732</v>
      </c>
      <c r="P53" s="2482" t="s">
        <v>1733</v>
      </c>
    </row>
    <row r="54" spans="1:17" ht="24" hidden="1" customHeight="1">
      <c r="A54" s="2050" t="s">
        <v>1734</v>
      </c>
      <c r="B54" s="3453" t="s">
        <v>1735</v>
      </c>
      <c r="C54" s="3453"/>
      <c r="D54" s="1068">
        <f ca="1">ROUND(D47*'数据-取费表'!E29/(1+'数据-取费表'!F30),0)</f>
        <v>829994</v>
      </c>
      <c r="E54" s="2060" t="s">
        <v>1736</v>
      </c>
      <c r="F54" s="2543">
        <f>'数据-取费表'!E29</f>
        <v>5.6000000000000001E-2</v>
      </c>
      <c r="G54" s="2544"/>
      <c r="H54" s="945"/>
      <c r="I54" s="2947"/>
      <c r="J54" s="2822"/>
      <c r="K54" s="2481">
        <v>1</v>
      </c>
      <c r="L54" s="3538" t="s">
        <v>1737</v>
      </c>
      <c r="M54" s="3538"/>
      <c r="N54" s="2483">
        <f ca="1">D50</f>
        <v>829994</v>
      </c>
      <c r="O54" s="2481" t="str">
        <f>E50</f>
        <v>销售额×税（费）率</v>
      </c>
      <c r="P54" s="2484">
        <f>F50</f>
        <v>5.6000000000000001E-2</v>
      </c>
    </row>
    <row r="55" spans="1:17" ht="12" hidden="1" customHeight="1">
      <c r="A55" s="2050" t="s">
        <v>1738</v>
      </c>
      <c r="B55" s="3415" t="s">
        <v>2774</v>
      </c>
      <c r="C55" s="3454"/>
      <c r="D55" s="1068">
        <f ca="1">ROUND(D47*'数据-取费表'!E29/(1+'数据-取费表'!F30),0)</f>
        <v>829994</v>
      </c>
      <c r="E55" s="2060" t="s">
        <v>1736</v>
      </c>
      <c r="F55" s="2543">
        <f>'数据-取费表'!E29</f>
        <v>5.6000000000000001E-2</v>
      </c>
      <c r="G55" s="2544"/>
      <c r="H55" s="945"/>
      <c r="I55" s="2947"/>
      <c r="J55" s="2822"/>
      <c r="K55" s="2481">
        <v>2</v>
      </c>
      <c r="L55" s="3538" t="s">
        <v>1739</v>
      </c>
      <c r="M55" s="3538"/>
      <c r="N55" s="2483">
        <f t="shared" ref="N55:P56" ca="1" si="1">D57</f>
        <v>7781</v>
      </c>
      <c r="O55" s="2481" t="str">
        <f t="shared" si="1"/>
        <v>销售额×税（费）率</v>
      </c>
      <c r="P55" s="2484">
        <f t="shared" si="1"/>
        <v>5.0000000000000001E-4</v>
      </c>
    </row>
    <row r="56" spans="1:17" ht="12" hidden="1" customHeight="1">
      <c r="A56" s="2050" t="s">
        <v>1740</v>
      </c>
      <c r="B56" s="3415" t="s">
        <v>2775</v>
      </c>
      <c r="C56" s="3454"/>
      <c r="D56" s="1068">
        <f ca="1">C70</f>
        <v>829994</v>
      </c>
      <c r="E56" s="264" t="s">
        <v>1741</v>
      </c>
      <c r="F56" s="2543">
        <f>'数据-取费表'!E29</f>
        <v>5.6000000000000001E-2</v>
      </c>
      <c r="G56" s="2544"/>
      <c r="H56" s="2948"/>
      <c r="I56" s="2947"/>
      <c r="J56" s="2822"/>
      <c r="K56" s="2481">
        <v>3</v>
      </c>
      <c r="L56" s="3538" t="s">
        <v>1742</v>
      </c>
      <c r="M56" s="3538"/>
      <c r="N56" s="2483">
        <f t="shared" ca="1" si="1"/>
        <v>8808315</v>
      </c>
      <c r="O56" s="2481" t="str">
        <f t="shared" si="1"/>
        <v>增值额×税（费）率</v>
      </c>
      <c r="P56" s="2485" t="str">
        <f t="shared" si="1"/>
        <v>——</v>
      </c>
    </row>
    <row r="57" spans="1:17" ht="24" hidden="1" customHeight="1">
      <c r="A57" s="3413" t="s">
        <v>1743</v>
      </c>
      <c r="B57" s="3414"/>
      <c r="C57" s="3414"/>
      <c r="D57" s="12">
        <f ca="1">IF(H57="个人住宅",0,ROUND(D47*I57,0))</f>
        <v>7781</v>
      </c>
      <c r="E57" s="2060" t="s">
        <v>1744</v>
      </c>
      <c r="F57" s="2543">
        <f>IF(H57="正常",I57,"免征")</f>
        <v>5.0000000000000001E-4</v>
      </c>
      <c r="G57" s="2544"/>
      <c r="H57" s="2535" t="s">
        <v>1745</v>
      </c>
      <c r="I57" s="74">
        <f>'数据-取费表'!E37</f>
        <v>5.0000000000000001E-4</v>
      </c>
      <c r="J57" s="2822"/>
      <c r="K57" s="2481">
        <f>IF(H61="非个人房产","",4)</f>
        <v>4</v>
      </c>
      <c r="L57" s="3538" t="str">
        <f>IF(H61="非个人房产","——","个人所得税")</f>
        <v>个人所得税</v>
      </c>
      <c r="M57" s="3538"/>
      <c r="N57" s="2486">
        <f ca="1">D61</f>
        <v>155624</v>
      </c>
      <c r="O57" s="2487" t="str">
        <f>E61</f>
        <v>销售额×税（费）率</v>
      </c>
      <c r="P57" s="2488">
        <f>F61</f>
        <v>0.01</v>
      </c>
    </row>
    <row r="58" spans="1:17" ht="24.75" hidden="1">
      <c r="A58" s="3413" t="s">
        <v>1746</v>
      </c>
      <c r="B58" s="3414"/>
      <c r="C58" s="3414"/>
      <c r="D58" s="12">
        <f ca="1">IF(H58="个人住宅",D59,D60)</f>
        <v>8808315</v>
      </c>
      <c r="E58" s="2060" t="s">
        <v>1747</v>
      </c>
      <c r="F58" s="2543" t="str">
        <f>IF(H58="正常",F60,"免征")</f>
        <v>——</v>
      </c>
      <c r="G58" s="2545" t="s">
        <v>1748</v>
      </c>
      <c r="H58" s="2546" t="s">
        <v>1745</v>
      </c>
      <c r="I58" s="2949"/>
      <c r="J58" s="2822"/>
      <c r="K58" s="2481" t="str">
        <f>IF(项目基本情况!I6="上海银行",IF(K57="",4,K57+1),"")</f>
        <v/>
      </c>
      <c r="L58" s="3540" t="str">
        <f>IF(项目基本情况!I6="上海银行","其他处置费用","")</f>
        <v/>
      </c>
      <c r="M58" s="3541"/>
      <c r="N58" s="2483" t="str">
        <f>IF(项目基本情况!I6="上海银行",N71,"")</f>
        <v/>
      </c>
      <c r="O58" s="3540" t="str">
        <f>IF(项目基本情况!I6="上海银行","包含处置中涉及的律师、诉讼、拍卖、评估等费用","")</f>
        <v/>
      </c>
      <c r="P58" s="3544"/>
    </row>
    <row r="59" spans="1:17" ht="12.75" hidden="1">
      <c r="A59" s="2050" t="s">
        <v>1723</v>
      </c>
      <c r="B59" s="3415" t="s">
        <v>1749</v>
      </c>
      <c r="C59" s="3454"/>
      <c r="D59" s="2536">
        <v>0</v>
      </c>
      <c r="E59" s="261" t="s">
        <v>1725</v>
      </c>
      <c r="F59" s="235"/>
      <c r="G59" s="2544"/>
      <c r="H59" s="2949"/>
      <c r="I59" s="2949"/>
      <c r="J59" s="2822"/>
      <c r="K59" s="3538">
        <f>IF(AND(K57="",K58=""),4,IF(项目基本情况!I6="上海银行",K58+1,K57+1))</f>
        <v>5</v>
      </c>
      <c r="L59" s="3538" t="s">
        <v>1750</v>
      </c>
      <c r="M59" s="2489" t="s">
        <v>1751</v>
      </c>
      <c r="N59" s="2490"/>
      <c r="O59" s="2491">
        <f ca="1">SUMIF(N54:N58,"&lt;9e307")</f>
        <v>9801714</v>
      </c>
      <c r="P59" s="2492"/>
      <c r="Q59" s="1274">
        <f ca="1">O59/N51</f>
        <v>0.62983330199710919</v>
      </c>
    </row>
    <row r="60" spans="1:17" ht="24.75" hidden="1">
      <c r="A60" s="2050" t="s">
        <v>1734</v>
      </c>
      <c r="B60" s="3415" t="s">
        <v>1752</v>
      </c>
      <c r="C60" s="3453"/>
      <c r="D60" s="12">
        <f ca="1">IF(H60="转让取得",C83,C99)</f>
        <v>8808315</v>
      </c>
      <c r="E60" s="2060" t="s">
        <v>1747</v>
      </c>
      <c r="F60" s="235" t="s">
        <v>48</v>
      </c>
      <c r="G60" s="2544"/>
      <c r="H60" s="2546" t="s">
        <v>1753</v>
      </c>
      <c r="I60" s="2949"/>
      <c r="J60" s="2822"/>
      <c r="K60" s="3538"/>
      <c r="L60" s="3538"/>
      <c r="M60" s="2489" t="s">
        <v>1754</v>
      </c>
      <c r="N60" s="2493"/>
      <c r="O60" s="2494" t="str">
        <f ca="1">IF(H19="元",NUMBERSTRING(INT(O59),2)&amp;"元整",NUMBERSTRING(INT(O59*10000),2)&amp;"元整")</f>
        <v>玖佰捌拾万壹仟柒佰壹拾肆元整</v>
      </c>
      <c r="P60" s="2495"/>
    </row>
    <row r="61" spans="1:17" ht="26.25" hidden="1" thickBot="1">
      <c r="A61" s="3437" t="s">
        <v>1755</v>
      </c>
      <c r="B61" s="3438"/>
      <c r="C61" s="3438"/>
      <c r="D61" s="69">
        <f ca="1">IF(H61="非个人房产","——",IF(H61="个人住宅（满五唯一有凭证）",0,IF(H61="个人其他（无凭证）",ROUND(D47*F61,0),ROUND(C69*F61,0))))</f>
        <v>155624</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2753</v>
      </c>
      <c r="H61" s="2064" t="s">
        <v>2679</v>
      </c>
      <c r="I61" s="2850" t="s">
        <v>2765</v>
      </c>
      <c r="J61" s="2822"/>
      <c r="K61" s="3536">
        <f>K59+1</f>
        <v>6</v>
      </c>
      <c r="L61" s="3538" t="s">
        <v>1756</v>
      </c>
      <c r="M61" s="2481" t="s">
        <v>1751</v>
      </c>
      <c r="N61" s="2496"/>
      <c r="O61" s="2497">
        <f ca="1">N51-O59</f>
        <v>5760680</v>
      </c>
      <c r="P61" s="2498"/>
    </row>
    <row r="62" spans="1:17" ht="12" hidden="1" customHeight="1">
      <c r="A62" s="1425"/>
      <c r="B62" s="2531"/>
      <c r="C62" s="2531"/>
      <c r="D62" s="2531"/>
      <c r="E62" s="1425"/>
      <c r="F62" s="2949"/>
      <c r="G62" s="2949"/>
      <c r="H62" s="2944"/>
      <c r="I62" s="945"/>
      <c r="J62" s="2822"/>
      <c r="K62" s="3537"/>
      <c r="L62" s="3538"/>
      <c r="M62" s="2489" t="s">
        <v>1754</v>
      </c>
      <c r="N62" s="2493"/>
      <c r="O62" s="2494" t="str">
        <f ca="1">IF(H19="元",NUMBERSTRING(INT(O61),2)&amp;"元整",NUMBERSTRING(INT(O61*10000),2)&amp;"元整")</f>
        <v>伍佰柒拾陆万零陆佰捌拾元整</v>
      </c>
      <c r="P62" s="2495"/>
    </row>
    <row r="63" spans="1:17" ht="13.5" hidden="1" thickBot="1">
      <c r="A63" s="3539" t="s">
        <v>1757</v>
      </c>
      <c r="B63" s="3539"/>
      <c r="C63" s="3539"/>
      <c r="D63" s="3539"/>
      <c r="E63" s="3539"/>
      <c r="F63" s="2949"/>
      <c r="G63" s="2949"/>
      <c r="H63" s="2944"/>
      <c r="I63" s="945"/>
      <c r="J63" s="2814"/>
      <c r="K63" s="2481">
        <f>K61+1</f>
        <v>7</v>
      </c>
      <c r="L63" s="3538" t="s">
        <v>1758</v>
      </c>
      <c r="M63" s="3538"/>
      <c r="N63" s="2499"/>
      <c r="O63" s="2500">
        <f ca="1">IF(H19="元",ROUND(O61/项目基本情况!C12,0),ROUND(O61*10000/项目基本情况!C12,0))</f>
        <v>22207</v>
      </c>
      <c r="P63" s="2501"/>
    </row>
    <row r="64" spans="1:17" ht="12.75" hidden="1">
      <c r="A64" s="3472" t="s">
        <v>1759</v>
      </c>
      <c r="B64" s="3473"/>
      <c r="C64" s="1575"/>
      <c r="D64" s="1575" t="s">
        <v>1760</v>
      </c>
      <c r="E64" s="45" t="s">
        <v>1761</v>
      </c>
      <c r="F64" s="2949"/>
      <c r="G64" s="2949"/>
      <c r="H64" s="2944"/>
      <c r="I64" s="945"/>
      <c r="J64" s="2814"/>
      <c r="K64" s="1276"/>
      <c r="L64" s="1276"/>
      <c r="M64" s="1276"/>
      <c r="N64" s="1276"/>
      <c r="O64" s="1276"/>
    </row>
    <row r="65" spans="1:36" ht="12.75" hidden="1">
      <c r="A65" s="46">
        <v>1</v>
      </c>
      <c r="B65" s="47" t="s">
        <v>1762</v>
      </c>
      <c r="C65" s="2753">
        <f ca="1">ROUND((C66+C67)/(1+'数据-取费表'!F30),0)</f>
        <v>14821328</v>
      </c>
      <c r="D65" s="47"/>
      <c r="E65" s="48"/>
      <c r="F65" s="2949"/>
      <c r="G65" s="2949"/>
      <c r="H65" s="2944"/>
      <c r="I65" s="945"/>
      <c r="J65" s="2814"/>
      <c r="K65" s="3546" t="s">
        <v>1763</v>
      </c>
      <c r="L65" s="1275" t="s">
        <v>1764</v>
      </c>
      <c r="M65" s="1275">
        <f ca="1">IF(N51&gt;10000,N51*0.5%,IF(AND(N51&gt;1000,N51&lt;=10000),N51*1%,IF(AND(N51&gt;100,N51&lt;=1000),N51*3%,IF(AND(N51&gt;10,N51&lt;=100),N51*5%,N51*8%))))</f>
        <v>77811.97</v>
      </c>
      <c r="N65" s="235">
        <f ca="1">ROUND(M65,1)</f>
        <v>77812</v>
      </c>
      <c r="O65" s="2502"/>
    </row>
    <row r="66" spans="1:36" ht="12.75" hidden="1">
      <c r="A66" s="49" t="s">
        <v>71</v>
      </c>
      <c r="B66" s="50" t="s">
        <v>1765</v>
      </c>
      <c r="C66" s="2754">
        <f ca="1">D47</f>
        <v>15562394</v>
      </c>
      <c r="D66" s="50" t="s">
        <v>41</v>
      </c>
      <c r="E66" s="52"/>
      <c r="F66" s="2949"/>
      <c r="G66" s="2949"/>
      <c r="H66" s="2944"/>
      <c r="I66" s="945"/>
      <c r="J66" s="2814"/>
      <c r="K66" s="3546"/>
      <c r="L66" s="1275" t="s">
        <v>1766</v>
      </c>
      <c r="M66" s="1275">
        <f ca="1">IF(N51&gt;2000,N51*0.5%,IF(AND(N51&gt;1000,N51&lt;=2000),N51*0.6%,IF(AND(N51&gt;500,N51&lt;=1000),N51*0.7%,IF(AND(N51&gt;200,N51&lt;=500),N51*0.8%,IF(AND(N51&gt;100,N51&lt;=200),N51*0.9%,IF(AND(N51&gt;50,N51&lt;=100),N51*1%,IF(AND(N51&gt;20,N51&lt;=50),N51*1.5%,IF(AND(N51&gt;10,N51&lt;=20),N51*2%,IF(AND(N51&gt;1,N51&lt;=10),N51*2.5%)))))))))</f>
        <v>77811.97</v>
      </c>
      <c r="N66" s="235">
        <f t="shared" ref="N66:N67" ca="1" si="2">ROUND(M66,1)</f>
        <v>77812</v>
      </c>
      <c r="O66" s="2502" t="s">
        <v>1767</v>
      </c>
    </row>
    <row r="67" spans="1:36" ht="12.75" hidden="1">
      <c r="A67" s="49" t="s">
        <v>72</v>
      </c>
      <c r="B67" s="50" t="s">
        <v>1768</v>
      </c>
      <c r="C67" s="2755"/>
      <c r="D67" s="50"/>
      <c r="E67" s="52"/>
      <c r="F67" s="2949"/>
      <c r="G67" s="2949"/>
      <c r="H67" s="2944"/>
      <c r="I67" s="945"/>
      <c r="J67" s="2814"/>
      <c r="K67" s="3546"/>
      <c r="L67" s="1275" t="s">
        <v>1769</v>
      </c>
      <c r="M67" s="1275">
        <f ca="1">IF(N51&gt;1000,N51*0.1%,IF(AND(N51&gt;500,N51&lt;=1000),N51*0.5%,IF(AND(N51&gt;50,N51&lt;=500),N51*1%,IF(AND(N51&gt;1,N51&lt;=50),N51*1.5%))))</f>
        <v>15562.394</v>
      </c>
      <c r="N67" s="235">
        <f t="shared" ca="1" si="2"/>
        <v>15562.4</v>
      </c>
      <c r="O67" s="2502" t="s">
        <v>1767</v>
      </c>
    </row>
    <row r="68" spans="1:36" ht="12.75" hidden="1">
      <c r="A68" s="53" t="s">
        <v>47</v>
      </c>
      <c r="B68" s="54" t="s">
        <v>1770</v>
      </c>
      <c r="C68" s="2756"/>
      <c r="D68" s="54" t="s">
        <v>41</v>
      </c>
      <c r="E68" s="1284" t="s">
        <v>1771</v>
      </c>
      <c r="F68" s="2949"/>
      <c r="G68" s="2949"/>
      <c r="H68" s="2944"/>
      <c r="I68" s="945"/>
      <c r="J68" s="2814"/>
      <c r="K68" s="3546"/>
      <c r="L68" s="1275" t="s">
        <v>1772</v>
      </c>
      <c r="M68" s="1275">
        <f ca="1">N51*0.5%</f>
        <v>77811.97</v>
      </c>
      <c r="N68" s="235">
        <f ca="1">IF(M68&gt;0.5,0.5,ROUND(M68,0))</f>
        <v>0.5</v>
      </c>
      <c r="O68" s="2502" t="s">
        <v>1773</v>
      </c>
    </row>
    <row r="69" spans="1:36" ht="12.75" hidden="1">
      <c r="A69" s="53" t="s">
        <v>42</v>
      </c>
      <c r="B69" s="54" t="s">
        <v>1774</v>
      </c>
      <c r="C69" s="2757">
        <f ca="1">C65-C68</f>
        <v>14821328</v>
      </c>
      <c r="D69" s="50" t="s">
        <v>41</v>
      </c>
      <c r="E69" s="52"/>
      <c r="F69" s="2949"/>
      <c r="G69" s="2949"/>
      <c r="H69" s="2944"/>
      <c r="I69" s="945"/>
      <c r="J69" s="2814"/>
      <c r="K69" s="3546"/>
      <c r="L69" s="1275" t="s">
        <v>1775</v>
      </c>
      <c r="M69" s="1275">
        <f ca="1">IF(N51&gt;=10000,(8.25+(N51-10000)*0.01%),IF(AND(N51&gt;=8000,N51&lt;10000),(7.85+(N51-8000)*0.02%),IF(AND(N51&gt;=5000,N51&lt;8000),(6.65+(N51-5000)*0.04%),IF(AND(N51&gt;=2000,N51&lt;5000),(4.25+(PN51-2000)*0.08%),IF(AND(N51&gt;=1000,N51&lt;2000),(2.75+(N51-1000)*0.15%),IF(AND(N51&gt;=100,N51&lt;1000),(0.5+(N51-100)*0.25%),IF(AND(N51&gt;0,N51&lt;100),N51*0.5%)))))))</f>
        <v>1563.4894000000002</v>
      </c>
      <c r="N69" s="235">
        <f ca="1">ROUND(M69*0.9,1)</f>
        <v>1407.1</v>
      </c>
      <c r="O69" s="2502"/>
    </row>
    <row r="70" spans="1:36" ht="13.5" hidden="1" thickBot="1">
      <c r="A70" s="55" t="s">
        <v>46</v>
      </c>
      <c r="B70" s="56" t="s">
        <v>1776</v>
      </c>
      <c r="C70" s="2758">
        <f ca="1">IF(C69&lt;=0,0,ROUND(C69*D70,0))</f>
        <v>829994</v>
      </c>
      <c r="D70" s="2210">
        <f>'数据-取费表'!E29</f>
        <v>5.6000000000000001E-2</v>
      </c>
      <c r="E70" s="57"/>
      <c r="F70" s="2949"/>
      <c r="G70" s="2949"/>
      <c r="H70" s="2944"/>
      <c r="I70" s="945"/>
      <c r="J70" s="2814"/>
      <c r="K70" s="3546"/>
      <c r="L70" s="1275" t="s">
        <v>1777</v>
      </c>
      <c r="M70" s="1275">
        <f ca="1">IF(N51&gt;10000,N51*0.5%,IF(AND(N51&gt;5000,N51&lt;=10000),N51*1%,IF(AND(N51&gt;1000,N51&lt;=5000),N51*2%,IF(AND(N51&gt;200,N51&lt;=1000),N51*3%,N51*5%))))</f>
        <v>77811.97</v>
      </c>
      <c r="N70" s="235">
        <f ca="1">ROUND(M70,1)</f>
        <v>77812</v>
      </c>
      <c r="O70" s="2502"/>
    </row>
    <row r="71" spans="1:36" s="1433" customFormat="1" ht="7.5" hidden="1" customHeight="1">
      <c r="A71" s="1445"/>
      <c r="B71" s="1446"/>
      <c r="C71" s="2759"/>
      <c r="D71" s="2253"/>
      <c r="E71" s="1449"/>
      <c r="F71" s="1425"/>
      <c r="G71" s="1425"/>
      <c r="H71" s="1449"/>
      <c r="I71" s="2531"/>
      <c r="J71" s="2814"/>
      <c r="K71" s="3546"/>
      <c r="L71" s="1275" t="s">
        <v>1778</v>
      </c>
      <c r="M71" s="1275"/>
      <c r="N71" s="235">
        <f ca="1">ROUND(SUM(N65:N70),0)</f>
        <v>250406</v>
      </c>
      <c r="O71" s="2503">
        <f ca="1">N71/N51</f>
        <v>1.6090454977556796E-2</v>
      </c>
      <c r="P71" s="659"/>
      <c r="Q71" s="659"/>
      <c r="R71" s="659"/>
      <c r="S71" s="659"/>
      <c r="T71" s="659"/>
      <c r="U71" s="659"/>
      <c r="V71" s="659"/>
      <c r="W71" s="659"/>
      <c r="X71" s="659"/>
      <c r="Y71" s="659"/>
      <c r="Z71" s="659"/>
      <c r="AA71" s="659"/>
      <c r="AB71" s="1276"/>
      <c r="AC71" s="1276"/>
      <c r="AD71" s="1276"/>
      <c r="AE71" s="1276"/>
      <c r="AF71" s="1276"/>
      <c r="AG71" s="1276"/>
      <c r="AH71" s="1276"/>
      <c r="AI71" s="1276"/>
      <c r="AJ71" s="1276"/>
    </row>
    <row r="72" spans="1:36" s="1451" customFormat="1" ht="15" hidden="1" thickBot="1">
      <c r="A72" s="3533" t="s">
        <v>1779</v>
      </c>
      <c r="B72" s="3534"/>
      <c r="C72" s="3534"/>
      <c r="D72" s="3534"/>
      <c r="E72" s="3534"/>
      <c r="F72" s="3534"/>
      <c r="G72" s="3534"/>
      <c r="H72" s="3534"/>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hidden="1">
      <c r="A73" s="3472" t="s">
        <v>1759</v>
      </c>
      <c r="B73" s="3473"/>
      <c r="C73" s="1575"/>
      <c r="D73" s="1575" t="s">
        <v>1760</v>
      </c>
      <c r="E73" s="58" t="s">
        <v>1761</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hidden="1">
      <c r="A74" s="61">
        <v>1</v>
      </c>
      <c r="B74" s="54" t="s">
        <v>1780</v>
      </c>
      <c r="C74" s="2757">
        <f ca="1">ROUND(D47/(1+'数据-取费表'!F30),0)</f>
        <v>14821328</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hidden="1">
      <c r="A75" s="63">
        <v>2</v>
      </c>
      <c r="B75" s="41" t="s">
        <v>1782</v>
      </c>
      <c r="C75" s="2757">
        <f ca="1">C76+C80</f>
        <v>88928</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hidden="1">
      <c r="A76" s="49" t="s">
        <v>73</v>
      </c>
      <c r="B76" s="50" t="s">
        <v>1783</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hidden="1">
      <c r="A77" s="49" t="s">
        <v>74</v>
      </c>
      <c r="B77" s="50" t="s">
        <v>1784</v>
      </c>
      <c r="C77" s="2236"/>
      <c r="D77" s="50" t="s">
        <v>41</v>
      </c>
      <c r="E77" s="64" t="s">
        <v>1785</v>
      </c>
      <c r="F77" s="2761" t="s">
        <v>1786</v>
      </c>
      <c r="G77" s="64" t="s">
        <v>1787</v>
      </c>
      <c r="H77" s="2762"/>
      <c r="I77" s="608"/>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hidden="1" customHeight="1">
      <c r="A78" s="49" t="s">
        <v>75</v>
      </c>
      <c r="B78" s="65" t="s">
        <v>1788</v>
      </c>
      <c r="C78" s="50">
        <f>IF(F77="购房发票",ROUND(C77*H77*D78,0),0)</f>
        <v>0</v>
      </c>
      <c r="D78" s="2763">
        <v>0.05</v>
      </c>
      <c r="E78" s="3415" t="s">
        <v>1789</v>
      </c>
      <c r="F78" s="3453"/>
      <c r="G78" s="3453"/>
      <c r="H78" s="3467"/>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hidden="1" customHeight="1">
      <c r="A79" s="49" t="s">
        <v>76</v>
      </c>
      <c r="B79" s="50" t="s">
        <v>1790</v>
      </c>
      <c r="C79" s="50">
        <f>ROUND(IF(G79="个人住宅",0,IF(G79="2016年5月1日前购买",C77*D79,C77*D79/(1+'数据-取费表'!F30))),0)</f>
        <v>0</v>
      </c>
      <c r="D79" s="2764">
        <f>'数据-取费表'!E36+'数据-取费表'!E37</f>
        <v>3.0499999999999999E-2</v>
      </c>
      <c r="E79" s="12" t="s">
        <v>1791</v>
      </c>
      <c r="F79" s="2063"/>
      <c r="G79" s="1454" t="s">
        <v>1792</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hidden="1" customHeight="1">
      <c r="A80" s="49" t="s">
        <v>77</v>
      </c>
      <c r="B80" s="50" t="s">
        <v>1793</v>
      </c>
      <c r="C80" s="2765">
        <f ca="1">ROUND(D47*D80/(1+'数据-取费表'!F30),0)</f>
        <v>88928</v>
      </c>
      <c r="D80" s="2766">
        <f>'数据-取费表'!E31</f>
        <v>6.000000000000001E-3</v>
      </c>
      <c r="E80" s="3447" t="s">
        <v>1794</v>
      </c>
      <c r="F80" s="3448"/>
      <c r="G80" s="3448"/>
      <c r="H80" s="3449"/>
      <c r="I80" s="609"/>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hidden="1">
      <c r="A81" s="53" t="s">
        <v>42</v>
      </c>
      <c r="B81" s="54" t="s">
        <v>1795</v>
      </c>
      <c r="C81" s="2757">
        <f ca="1">C74-C75</f>
        <v>14732400</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hidden="1">
      <c r="A82" s="53" t="s">
        <v>43</v>
      </c>
      <c r="B82" s="54" t="s">
        <v>1796</v>
      </c>
      <c r="C82" s="2767">
        <f ca="1">IF(C81&lt;=0,0,C81/C75)</f>
        <v>165.66660669305506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hidden="1" thickBot="1">
      <c r="A83" s="55" t="s">
        <v>44</v>
      </c>
      <c r="B83" s="56" t="s">
        <v>1797</v>
      </c>
      <c r="C83" s="2768">
        <f ca="1">ROUND(IF(C81&lt;=0,0,IF(C82&gt;=200%,C81*60%-C75*35%,IF(C82&gt;=100%,C81*50%-C75*15%,IF(C82&gt;=50%,C81*40%-C75*5%,IF(C82&lt;50%,C81*30%,0))))),0)</f>
        <v>8808315</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hidden="1" customHeight="1">
      <c r="A84" s="608"/>
      <c r="B84" s="608"/>
      <c r="C84" s="608"/>
      <c r="D84" s="608"/>
      <c r="E84" s="608"/>
      <c r="F84" s="608"/>
      <c r="G84" s="608"/>
      <c r="H84" s="609"/>
      <c r="I84" s="609"/>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hidden="1" thickBot="1">
      <c r="A85" s="3533" t="s">
        <v>1798</v>
      </c>
      <c r="B85" s="3534"/>
      <c r="C85" s="3534"/>
      <c r="D85" s="3534"/>
      <c r="E85" s="3534"/>
      <c r="F85" s="3534"/>
      <c r="G85" s="3534"/>
      <c r="H85" s="3534"/>
      <c r="I85" s="608"/>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hidden="1">
      <c r="A86" s="3472" t="s">
        <v>1759</v>
      </c>
      <c r="B86" s="3473"/>
      <c r="C86" s="1575"/>
      <c r="D86" s="1575" t="s">
        <v>1760</v>
      </c>
      <c r="E86" s="58" t="s">
        <v>1761</v>
      </c>
      <c r="F86" s="59"/>
      <c r="G86" s="59"/>
      <c r="H86" s="72"/>
      <c r="I86" s="608"/>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hidden="1">
      <c r="A87" s="61">
        <v>1</v>
      </c>
      <c r="B87" s="54" t="s">
        <v>1780</v>
      </c>
      <c r="C87" s="2757">
        <f ca="1">ROUND(D47/(1+'数据-取费表'!F30),0)</f>
        <v>14821328</v>
      </c>
      <c r="D87" s="50" t="s">
        <v>41</v>
      </c>
      <c r="E87" s="2056"/>
      <c r="F87" s="2057"/>
      <c r="G87" s="2057"/>
      <c r="H87" s="73"/>
      <c r="I87" s="608"/>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hidden="1">
      <c r="A88" s="63">
        <v>2</v>
      </c>
      <c r="B88" s="41" t="s">
        <v>1782</v>
      </c>
      <c r="C88" s="2757">
        <f ca="1">IF(H90="仅含出让金",C89+C92+C93+C94+C95+C96,C89+C93+C94+C95+C96)</f>
        <v>88928</v>
      </c>
      <c r="D88" s="2769"/>
      <c r="E88" s="2056"/>
      <c r="F88" s="2057"/>
      <c r="G88" s="2057"/>
      <c r="H88" s="73"/>
      <c r="I88" s="608"/>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hidden="1">
      <c r="A89" s="49" t="s">
        <v>73</v>
      </c>
      <c r="B89" s="50" t="s">
        <v>1799</v>
      </c>
      <c r="C89" s="2765">
        <f>C90+C91</f>
        <v>0</v>
      </c>
      <c r="D89" s="2766"/>
      <c r="E89" s="2053"/>
      <c r="F89" s="2054"/>
      <c r="G89" s="2054"/>
      <c r="H89" s="2055"/>
      <c r="I89" s="608"/>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hidden="1">
      <c r="A90" s="49" t="s">
        <v>74</v>
      </c>
      <c r="B90" s="50" t="s">
        <v>1800</v>
      </c>
      <c r="C90" s="2770"/>
      <c r="D90" s="2766"/>
      <c r="E90" s="74" t="s">
        <v>1801</v>
      </c>
      <c r="F90" s="2054"/>
      <c r="G90" s="75" t="s">
        <v>1802</v>
      </c>
      <c r="H90" s="1456"/>
      <c r="I90" s="608"/>
      <c r="J90" s="2846"/>
      <c r="K90" s="2941" t="s">
        <v>2757</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hidden="1">
      <c r="A91" s="49" t="s">
        <v>75</v>
      </c>
      <c r="B91" s="50" t="s">
        <v>1790</v>
      </c>
      <c r="C91" s="2765">
        <f>ROUND(C90*D91,0)</f>
        <v>0</v>
      </c>
      <c r="D91" s="2766">
        <f>'数据-取费表'!E36+'数据-取费表'!E37</f>
        <v>3.0499999999999999E-2</v>
      </c>
      <c r="E91" s="74" t="s">
        <v>1803</v>
      </c>
      <c r="F91" s="2054"/>
      <c r="G91" s="2054"/>
      <c r="H91" s="2055"/>
      <c r="I91" s="608"/>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hidden="1">
      <c r="A92" s="49" t="s">
        <v>77</v>
      </c>
      <c r="B92" s="50" t="s">
        <v>1804</v>
      </c>
      <c r="C92" s="2770"/>
      <c r="D92" s="2766"/>
      <c r="E92" s="74" t="str">
        <f>IF(H90="-","土地取得成本中已包含该笔费用"," ")</f>
        <v xml:space="preserve"> </v>
      </c>
      <c r="F92" s="2054"/>
      <c r="G92" s="3508" t="s">
        <v>2674</v>
      </c>
      <c r="H92" s="3535"/>
      <c r="I92" s="608"/>
      <c r="J92" s="2846"/>
      <c r="K92" s="2941" t="s">
        <v>2758</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hidden="1" customHeight="1">
      <c r="A93" s="49" t="s">
        <v>78</v>
      </c>
      <c r="B93" s="50" t="s">
        <v>1805</v>
      </c>
      <c r="C93" s="2765">
        <f>IF(H93="——",成本法!C33,I93)</f>
        <v>0</v>
      </c>
      <c r="D93" s="2766"/>
      <c r="E93" s="3447" t="s">
        <v>1806</v>
      </c>
      <c r="F93" s="3448"/>
      <c r="G93" s="3448"/>
      <c r="H93" s="1457" t="s">
        <v>1807</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hidden="1" customHeight="1">
      <c r="A94" s="49" t="s">
        <v>79</v>
      </c>
      <c r="B94" s="50" t="s">
        <v>1808</v>
      </c>
      <c r="C94" s="2765">
        <f>ROUND((C89+C92+C93)*D94,0)</f>
        <v>0</v>
      </c>
      <c r="D94" s="2766">
        <v>0.1</v>
      </c>
      <c r="E94" s="3447" t="s">
        <v>1809</v>
      </c>
      <c r="F94" s="3448"/>
      <c r="G94" s="3448"/>
      <c r="H94" s="3449"/>
      <c r="I94" s="608"/>
      <c r="J94" s="2846"/>
      <c r="K94" s="2942" t="s">
        <v>2759</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hidden="1" customHeight="1">
      <c r="A95" s="49" t="s">
        <v>80</v>
      </c>
      <c r="B95" s="50" t="s">
        <v>1793</v>
      </c>
      <c r="C95" s="2765">
        <f ca="1">ROUND(D47*D95/(1+'数据-取费表'!F30),0)</f>
        <v>88928</v>
      </c>
      <c r="D95" s="2766">
        <f>'数据-取费表'!E31</f>
        <v>6.000000000000001E-3</v>
      </c>
      <c r="E95" s="3447" t="s">
        <v>1794</v>
      </c>
      <c r="F95" s="3448"/>
      <c r="G95" s="3448"/>
      <c r="H95" s="3449"/>
      <c r="I95" s="608"/>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hidden="1" customHeight="1">
      <c r="A96" s="49" t="s">
        <v>81</v>
      </c>
      <c r="B96" s="50" t="s">
        <v>1810</v>
      </c>
      <c r="C96" s="2765">
        <f>ROUND((C89+C92+C93)*D96,0)</f>
        <v>0</v>
      </c>
      <c r="D96" s="2766">
        <v>0.2</v>
      </c>
      <c r="E96" s="3447" t="s">
        <v>1811</v>
      </c>
      <c r="F96" s="3448"/>
      <c r="G96" s="3448"/>
      <c r="H96" s="3449"/>
      <c r="I96" s="608"/>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hidden="1">
      <c r="A97" s="53" t="s">
        <v>42</v>
      </c>
      <c r="B97" s="54" t="s">
        <v>1795</v>
      </c>
      <c r="C97" s="2757">
        <f ca="1">ROUND(C87-C88,0)</f>
        <v>14732400</v>
      </c>
      <c r="D97" s="50" t="s">
        <v>41</v>
      </c>
      <c r="E97" s="2056"/>
      <c r="F97" s="2057"/>
      <c r="G97" s="2057"/>
      <c r="H97" s="73"/>
      <c r="I97" s="608"/>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hidden="1">
      <c r="A98" s="53" t="s">
        <v>43</v>
      </c>
      <c r="B98" s="54" t="s">
        <v>1796</v>
      </c>
      <c r="C98" s="2767">
        <f ca="1">IF(C97&lt;=0,0,C97/C88)</f>
        <v>165.66660669305506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8"/>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hidden="1" thickBot="1">
      <c r="A99" s="66" t="s">
        <v>44</v>
      </c>
      <c r="B99" s="56" t="s">
        <v>1797</v>
      </c>
      <c r="C99" s="67">
        <f ca="1">ROUND(IF(C97&lt;=0,0,IF(C98&gt;=200%,C97*60%-C88*35%,IF(C98&gt;=100%,C97*50%-C88*15%,IF(C98&gt;=50%,C97*40%-C88*5%,IF(C98&lt;50%,C97*30%,0))))),0)</f>
        <v>8808315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1812</v>
      </c>
      <c r="B100" s="1429"/>
      <c r="C100" s="1429"/>
      <c r="D100" s="1429"/>
      <c r="E100" s="812"/>
      <c r="F100" s="812"/>
      <c r="G100" s="812"/>
      <c r="H100" s="1438"/>
      <c r="I100" s="1429"/>
    </row>
    <row r="101" spans="1:36" ht="15">
      <c r="A101" s="3494" t="s">
        <v>1813</v>
      </c>
      <c r="B101" s="3495"/>
      <c r="C101" s="3495"/>
      <c r="D101" s="3496"/>
      <c r="E101" s="1429"/>
      <c r="F101" s="3530" t="s">
        <v>2716</v>
      </c>
      <c r="G101" s="3531"/>
      <c r="H101" s="3531"/>
      <c r="I101" s="3532"/>
      <c r="J101" s="2849"/>
    </row>
    <row r="102" spans="1:36" ht="15">
      <c r="A102" s="3506" t="s">
        <v>1815</v>
      </c>
      <c r="B102" s="3507"/>
      <c r="C102" s="2772" t="str">
        <f>C4</f>
        <v>成本法</v>
      </c>
      <c r="D102" s="2773" t="str">
        <f>D4</f>
        <v>收益法</v>
      </c>
      <c r="E102" s="1429"/>
      <c r="F102" s="3418" t="s">
        <v>2717</v>
      </c>
      <c r="G102" s="3419"/>
      <c r="H102" s="3424" t="s">
        <v>2718</v>
      </c>
      <c r="I102" s="3417"/>
      <c r="J102" s="2829"/>
    </row>
    <row r="103" spans="1:36" ht="12.75">
      <c r="A103" s="3527" t="s">
        <v>2712</v>
      </c>
      <c r="B103" s="2275" t="str">
        <f>IF(H19="元","总价（元）","总价（万元）")</f>
        <v>总价（元）</v>
      </c>
      <c r="C103" s="1275">
        <f ca="1">C19</f>
        <v>14970551</v>
      </c>
      <c r="D103" s="2776">
        <f ca="1">D19</f>
        <v>6211867</v>
      </c>
      <c r="E103" s="1429"/>
      <c r="F103" s="3528"/>
      <c r="G103" s="3529"/>
      <c r="H103" s="3416">
        <f>典型户型修正!B25</f>
        <v>456.71000000000004</v>
      </c>
      <c r="I103" s="3417"/>
      <c r="J103" s="2829"/>
    </row>
    <row r="104" spans="1:36" ht="12.75">
      <c r="A104" s="3527"/>
      <c r="B104" s="2275" t="s">
        <v>2713</v>
      </c>
      <c r="C104" s="2777">
        <f ca="1">C20</f>
        <v>57710</v>
      </c>
      <c r="D104" s="2778">
        <f ca="1">D20</f>
        <v>23946</v>
      </c>
      <c r="E104" s="1429"/>
      <c r="F104" s="3428" t="s">
        <v>2719</v>
      </c>
      <c r="G104" s="3429"/>
      <c r="H104" s="2786" t="str">
        <f>C110</f>
        <v>总价（元）</v>
      </c>
      <c r="I104" s="2787">
        <f ca="1">H125</f>
        <v>15562394</v>
      </c>
      <c r="J104" s="2829"/>
    </row>
    <row r="105" spans="1:36" ht="12.75">
      <c r="A105" s="3527" t="s">
        <v>2714</v>
      </c>
      <c r="B105" s="2213" t="str">
        <f>B103</f>
        <v>总价（元）</v>
      </c>
      <c r="C105" s="12">
        <f ca="1">ROUND(IF('数据-取费表'!B4="总价",G19,IF(H19="元",G20*'数据-取费表'!E5,G20*'数据-取费表'!E5/10000)),0)</f>
        <v>8839396</v>
      </c>
      <c r="D105" s="2779"/>
      <c r="E105" s="1429"/>
      <c r="F105" s="3428"/>
      <c r="G105" s="3429"/>
      <c r="H105" s="2786" t="s">
        <v>2720</v>
      </c>
      <c r="I105" s="52">
        <f ca="1">I125</f>
        <v>340750016</v>
      </c>
      <c r="J105" s="2813"/>
    </row>
    <row r="106" spans="1:36" ht="12.75">
      <c r="A106" s="3527"/>
      <c r="B106" s="2275" t="s">
        <v>2713</v>
      </c>
      <c r="C106" s="1449">
        <f ca="1">ROUND(IF('数据-取费表'!B4="楼面单价",G20,IF(H19="元",G19/'数据-取费表'!E5,G19*10000/'数据-取费表'!E5)),0)</f>
        <v>34075</v>
      </c>
      <c r="D106" s="2779"/>
      <c r="E106" s="1429"/>
      <c r="F106" s="3428"/>
      <c r="G106" s="3429"/>
      <c r="H106" s="3488"/>
      <c r="I106" s="3489"/>
      <c r="J106" s="2830"/>
    </row>
    <row r="107" spans="1:36" ht="12.75">
      <c r="A107" s="3521" t="s">
        <v>2715</v>
      </c>
      <c r="B107" s="2780" t="str">
        <f>B103</f>
        <v>总价（元）</v>
      </c>
      <c r="C107" s="2781">
        <f ca="1">H125</f>
        <v>15562394</v>
      </c>
      <c r="D107" s="2782"/>
      <c r="E107" s="1429"/>
      <c r="F107" s="3492" t="s">
        <v>2721</v>
      </c>
      <c r="G107" s="3493"/>
      <c r="H107" s="2788" t="str">
        <f>C112</f>
        <v>总额（元）</v>
      </c>
      <c r="I107" s="2787">
        <f>SUMIF(I108:I110,"&lt;9E307")</f>
        <v>0</v>
      </c>
      <c r="J107" s="2829"/>
    </row>
    <row r="108" spans="1:36" ht="15" thickBot="1">
      <c r="A108" s="3487"/>
      <c r="B108" s="2783" t="s">
        <v>2713</v>
      </c>
      <c r="C108" s="2784">
        <f ca="1">I125</f>
        <v>340750016</v>
      </c>
      <c r="D108" s="2785"/>
      <c r="E108" s="1429"/>
      <c r="F108" s="3430" t="s">
        <v>2722</v>
      </c>
      <c r="G108" s="3431"/>
      <c r="H108" s="2788" t="str">
        <f>C113</f>
        <v>总额（元）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24" t="s">
        <v>1816</v>
      </c>
      <c r="B109" s="3525"/>
      <c r="C109" s="3525"/>
      <c r="D109" s="3526"/>
      <c r="E109" s="1429"/>
      <c r="F109" s="3430" t="s">
        <v>2723</v>
      </c>
      <c r="G109" s="3431"/>
      <c r="H109" s="2788" t="str">
        <f>C114</f>
        <v>总额（元）</v>
      </c>
      <c r="I109" s="52">
        <f>C39</f>
        <v>0</v>
      </c>
      <c r="J109" s="2813"/>
    </row>
    <row r="110" spans="1:36" ht="12.75">
      <c r="A110" s="3428" t="s">
        <v>2726</v>
      </c>
      <c r="B110" s="3429"/>
      <c r="C110" s="2786" t="str">
        <f>B103</f>
        <v>总价（元）</v>
      </c>
      <c r="D110" s="2787">
        <f ca="1">H125</f>
        <v>15562394</v>
      </c>
      <c r="E110" s="1429"/>
      <c r="F110" s="3430" t="s">
        <v>2724</v>
      </c>
      <c r="G110" s="3431"/>
      <c r="H110" s="2788" t="str">
        <f>C115</f>
        <v>总额（元）</v>
      </c>
      <c r="I110" s="52">
        <f>C40</f>
        <v>0</v>
      </c>
      <c r="J110" s="2813"/>
    </row>
    <row r="111" spans="1:36" ht="12.75">
      <c r="A111" s="3428"/>
      <c r="B111" s="3429"/>
      <c r="C111" s="2786" t="s">
        <v>2727</v>
      </c>
      <c r="D111" s="52">
        <f ca="1">I125</f>
        <v>340750016</v>
      </c>
      <c r="E111" s="1429"/>
      <c r="F111" s="3428"/>
      <c r="G111" s="3429"/>
      <c r="H111" s="3490"/>
      <c r="I111" s="3491"/>
      <c r="J111" s="2831"/>
    </row>
    <row r="112" spans="1:36" ht="28.5" customHeight="1">
      <c r="A112" s="3435" t="s">
        <v>2721</v>
      </c>
      <c r="B112" s="3436"/>
      <c r="C112" s="2788" t="str">
        <f>IF(H19="元","总额（元）","总额（万元）")</f>
        <v>总额（元）</v>
      </c>
      <c r="D112" s="2787">
        <f>IF(D38="正常操作",I108+I109+I110,I109+I110)</f>
        <v>0</v>
      </c>
      <c r="E112" s="1429"/>
      <c r="F112" s="3420" t="str">
        <f>IF(项目基本情况!F5="已注销","——","3.房地产抵押价值")</f>
        <v>3.房地产抵押价值</v>
      </c>
      <c r="G112" s="3421"/>
      <c r="H112" s="1449" t="str">
        <f>C116</f>
        <v>总价（元）</v>
      </c>
      <c r="I112" s="2787">
        <f ca="1">IF(F112="——","——",I104-I107)</f>
        <v>15562394</v>
      </c>
      <c r="J112" s="2829"/>
    </row>
    <row r="113" spans="1:27" ht="12.75">
      <c r="A113" s="3430" t="s">
        <v>2728</v>
      </c>
      <c r="B113" s="3431"/>
      <c r="C113" s="2788" t="str">
        <f>C112</f>
        <v>总额（元）</v>
      </c>
      <c r="D113" s="52">
        <f>IF(D38="同一抵押权人同一抵押物续贷",C38&amp;"（未扣减，详见特别提示）",C38)</f>
        <v>0</v>
      </c>
      <c r="E113" s="1429"/>
      <c r="F113" s="3519"/>
      <c r="G113" s="3520"/>
      <c r="H113" s="2786" t="s">
        <v>2720</v>
      </c>
      <c r="I113" s="2790">
        <f ca="1">D117</f>
        <v>340750016</v>
      </c>
      <c r="J113" s="2832"/>
    </row>
    <row r="114" spans="1:27" ht="12.75">
      <c r="A114" s="3430" t="s">
        <v>2729</v>
      </c>
      <c r="B114" s="3431"/>
      <c r="C114" s="2788" t="str">
        <f>C112</f>
        <v>总额（元）</v>
      </c>
      <c r="D114" s="52">
        <f>C39</f>
        <v>0</v>
      </c>
      <c r="E114" s="1429"/>
      <c r="F114" s="3420" t="str">
        <f>IF(项目基本情况!F5="已注销及未注销","4.抵押担保权已注销时的房地产抵押价值",IF(项目基本情况!F5="已注销","3.抵押担保权已注销时的房地产抵押价值","——"))</f>
        <v>——</v>
      </c>
      <c r="G114" s="3421"/>
      <c r="H114" s="1449" t="str">
        <f>C118</f>
        <v>总价（元）</v>
      </c>
      <c r="I114" s="2787" t="str">
        <f>IF(F114="——","——",I104-I109-I110)</f>
        <v>——</v>
      </c>
      <c r="J114" s="2829"/>
    </row>
    <row r="115" spans="1:27" ht="12.75">
      <c r="A115" s="3430" t="s">
        <v>2730</v>
      </c>
      <c r="B115" s="3431"/>
      <c r="C115" s="2788" t="str">
        <f>C112</f>
        <v>总额（元）</v>
      </c>
      <c r="D115" s="52">
        <f>C40</f>
        <v>0</v>
      </c>
      <c r="E115" s="1429"/>
      <c r="F115" s="3519"/>
      <c r="G115" s="3520"/>
      <c r="H115" s="2786" t="s">
        <v>2720</v>
      </c>
      <c r="I115" s="52" t="str">
        <f>D119</f>
        <v>——</v>
      </c>
      <c r="J115" s="2813"/>
    </row>
    <row r="116" spans="1:27" ht="12.75">
      <c r="A116" s="3428" t="str">
        <f>IF(项目基本情况!F5="已注销","——","3.房地产抵押价值")</f>
        <v>3.房地产抵押价值</v>
      </c>
      <c r="B116" s="3429"/>
      <c r="C116" s="2786" t="str">
        <f>B103</f>
        <v>总价（元）</v>
      </c>
      <c r="D116" s="2787">
        <f ca="1">IF(A116="——","——",D110-D112)</f>
        <v>15562394</v>
      </c>
      <c r="E116" s="1429"/>
      <c r="F116" s="3420" t="str">
        <f>IF(项目基本情况!G5="抵押净值",IF(OR(项目基本情况!F5="已注销",项目基本情况!F5="房地产抵押价值"),"4.抵押净值","5.抵押净值"),"——")</f>
        <v>——</v>
      </c>
      <c r="G116" s="3421"/>
      <c r="H116" s="2786" t="str">
        <f>C120</f>
        <v>总价（元）</v>
      </c>
      <c r="I116" s="2787" t="str">
        <f>IF(F116="——","——",O61)</f>
        <v>——</v>
      </c>
      <c r="J116" s="2829"/>
    </row>
    <row r="117" spans="1:27" ht="13.5" thickBot="1">
      <c r="A117" s="3428"/>
      <c r="B117" s="3429"/>
      <c r="C117" s="2786" t="s">
        <v>2727</v>
      </c>
      <c r="D117" s="52">
        <f ca="1">ROUND(IF(D116=D110,D111,IF(H19="元",D116/B125,D116*10000/B125)),0)</f>
        <v>340750016</v>
      </c>
      <c r="E117" s="1429"/>
      <c r="F117" s="3422"/>
      <c r="G117" s="3423"/>
      <c r="H117" s="2791" t="s">
        <v>2720</v>
      </c>
      <c r="I117" s="2775" t="str">
        <f ca="1">D121</f>
        <v>——</v>
      </c>
      <c r="J117" s="2813"/>
    </row>
    <row r="118" spans="1:27" ht="15.75">
      <c r="A118" s="3428" t="str">
        <f>IF(项目基本情况!F5="已注销及未注销","4.抵押担保权已注销时的房地产抵押价值",IF(项目基本情况!F5="已注销","3.抵押担保权已注销时的房地产抵押价值","——"))</f>
        <v>——</v>
      </c>
      <c r="B118" s="3429"/>
      <c r="C118" s="2786" t="str">
        <f>B103</f>
        <v>总价（元）</v>
      </c>
      <c r="D118" s="2787" t="str">
        <f>IF(A118="——","——",D110-D114-D115)</f>
        <v>——</v>
      </c>
      <c r="E118" s="1429"/>
      <c r="F118" s="3514"/>
      <c r="G118" s="3514"/>
      <c r="H118" s="3478"/>
      <c r="I118" s="3478"/>
      <c r="J118" s="2833"/>
      <c r="O118" s="32"/>
      <c r="P118" s="32"/>
    </row>
    <row r="119" spans="1:27" s="1276" customFormat="1" ht="12.75">
      <c r="A119" s="3428"/>
      <c r="B119" s="3429"/>
      <c r="C119" s="2786" t="s">
        <v>2727</v>
      </c>
      <c r="D119" s="52" t="str">
        <f>IF(A118="——","——",IF(H19="元",ROUND(D118/B125,0),ROUND(D118*10000/B125,0)))</f>
        <v>——</v>
      </c>
      <c r="E119" s="1429"/>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834"/>
      <c r="K119" s="659"/>
      <c r="L119" s="659"/>
      <c r="M119" s="659"/>
      <c r="N119" s="659"/>
      <c r="O119" s="32"/>
      <c r="P119" s="32"/>
      <c r="Q119" s="659"/>
      <c r="R119" s="659"/>
      <c r="S119" s="659"/>
      <c r="T119" s="659"/>
      <c r="U119" s="659"/>
      <c r="V119" s="659"/>
      <c r="W119" s="659"/>
      <c r="X119" s="659"/>
      <c r="Y119" s="659"/>
      <c r="Z119" s="659"/>
      <c r="AA119" s="659"/>
    </row>
    <row r="120" spans="1:27" s="1276" customFormat="1" ht="12.75">
      <c r="A120" s="3428" t="str">
        <f>IF(项目基本情况!G5="抵押净值",IF(OR(项目基本情况!F5="已注销",项目基本情况!F5="房地产抵押价值"),"4.抵押净值","5.抵押净值"),"——")</f>
        <v>——</v>
      </c>
      <c r="B120" s="3429"/>
      <c r="C120" s="2786" t="str">
        <f>B103</f>
        <v>总价（元）</v>
      </c>
      <c r="D120" s="2787" t="str">
        <f>IF(A120="——","——",O61)</f>
        <v>——</v>
      </c>
      <c r="E120" s="1429"/>
      <c r="F120" s="1483"/>
      <c r="G120" s="1483"/>
      <c r="H120" s="1483"/>
      <c r="I120" s="1483"/>
      <c r="J120" s="2834"/>
      <c r="K120" s="659"/>
      <c r="L120" s="659"/>
      <c r="M120" s="659"/>
      <c r="N120" s="659"/>
      <c r="O120" s="32"/>
      <c r="P120" s="32"/>
      <c r="Q120" s="659"/>
      <c r="R120" s="659"/>
      <c r="S120" s="659"/>
      <c r="T120" s="659"/>
      <c r="U120" s="659"/>
      <c r="V120" s="659"/>
      <c r="W120" s="659"/>
      <c r="X120" s="659"/>
      <c r="Y120" s="659"/>
      <c r="Z120" s="659"/>
      <c r="AA120" s="659"/>
    </row>
    <row r="121" spans="1:27" s="1276" customFormat="1" ht="13.5" thickBot="1">
      <c r="A121" s="3433"/>
      <c r="B121" s="3434"/>
      <c r="C121" s="2791" t="s">
        <v>2727</v>
      </c>
      <c r="D121" s="2775" t="str">
        <f ca="1">IF(D120=D110,D111,IF(A120="——","——",O63))</f>
        <v>——</v>
      </c>
      <c r="E121" s="1429"/>
      <c r="F121" s="1483"/>
      <c r="G121" s="1483"/>
      <c r="H121" s="1483"/>
      <c r="I121" s="1483"/>
      <c r="J121" s="2834"/>
      <c r="K121" s="659"/>
      <c r="L121" s="659"/>
      <c r="M121" s="659"/>
      <c r="N121" s="659"/>
      <c r="O121" s="32"/>
      <c r="P121" s="32"/>
      <c r="Q121" s="659"/>
      <c r="R121" s="659"/>
      <c r="S121" s="659"/>
      <c r="T121" s="659"/>
      <c r="U121" s="659"/>
      <c r="V121" s="659"/>
      <c r="W121" s="659"/>
      <c r="X121" s="659"/>
      <c r="Y121" s="659"/>
      <c r="Z121" s="659"/>
      <c r="AA121" s="659"/>
    </row>
    <row r="122" spans="1:27" s="1276" customFormat="1" ht="15">
      <c r="A122" s="3479" t="s">
        <v>1855</v>
      </c>
      <c r="B122" s="3480"/>
      <c r="C122" s="3480"/>
      <c r="D122" s="3480"/>
      <c r="E122" s="3480"/>
      <c r="F122" s="3480"/>
      <c r="G122" s="3480"/>
      <c r="H122" s="3480"/>
      <c r="I122" s="3480"/>
      <c r="J122" s="2835"/>
      <c r="K122" s="659"/>
      <c r="L122" s="659"/>
      <c r="M122" s="659"/>
      <c r="N122" s="659"/>
      <c r="O122" s="659"/>
      <c r="P122" s="659"/>
      <c r="Q122" s="659"/>
      <c r="R122" s="659"/>
      <c r="S122" s="659"/>
      <c r="T122" s="659"/>
      <c r="U122" s="659"/>
      <c r="V122" s="659"/>
      <c r="W122" s="659"/>
      <c r="X122" s="659"/>
      <c r="Y122" s="659"/>
      <c r="Z122" s="659"/>
      <c r="AA122" s="659"/>
    </row>
    <row r="123" spans="1:27" s="1276" customFormat="1" ht="12.75">
      <c r="A123" s="3413" t="s">
        <v>2731</v>
      </c>
      <c r="B123" s="3439" t="s">
        <v>2732</v>
      </c>
      <c r="C123" s="3439" t="s">
        <v>2738</v>
      </c>
      <c r="D123" s="3501" t="s">
        <v>2733</v>
      </c>
      <c r="E123" s="3502"/>
      <c r="F123" s="3414" t="s">
        <v>2739</v>
      </c>
      <c r="G123" s="3414"/>
      <c r="H123" s="3414" t="s">
        <v>2734</v>
      </c>
      <c r="I123" s="3500"/>
      <c r="J123" s="2813"/>
      <c r="K123" s="659"/>
      <c r="L123" s="659"/>
      <c r="M123" s="659"/>
      <c r="N123" s="659"/>
      <c r="O123" s="659"/>
      <c r="P123" s="659"/>
      <c r="Q123" s="659"/>
      <c r="R123" s="659"/>
      <c r="S123" s="659"/>
      <c r="T123" s="659"/>
      <c r="U123" s="659"/>
      <c r="V123" s="659"/>
      <c r="W123" s="659"/>
      <c r="X123" s="659"/>
      <c r="Y123" s="659"/>
      <c r="Z123" s="659"/>
      <c r="AA123" s="659"/>
    </row>
    <row r="124" spans="1:27" s="1276" customFormat="1" ht="12.75">
      <c r="A124" s="3413"/>
      <c r="B124" s="3440"/>
      <c r="C124" s="3440"/>
      <c r="D124" s="2060" t="s">
        <v>2735</v>
      </c>
      <c r="E124" s="2060" t="s">
        <v>2740</v>
      </c>
      <c r="F124" s="2060" t="s">
        <v>2735</v>
      </c>
      <c r="G124" s="2060" t="s">
        <v>2736</v>
      </c>
      <c r="H124" s="2060" t="s">
        <v>2735</v>
      </c>
      <c r="I124" s="52" t="s">
        <v>2736</v>
      </c>
      <c r="J124" s="2813"/>
      <c r="K124" s="659"/>
      <c r="L124" s="659"/>
      <c r="M124" s="659"/>
      <c r="N124" s="659"/>
      <c r="O124" s="659"/>
      <c r="P124" s="659"/>
      <c r="Q124" s="659"/>
      <c r="R124" s="659"/>
      <c r="S124" s="659"/>
      <c r="T124" s="659"/>
      <c r="U124" s="659"/>
      <c r="V124" s="659"/>
      <c r="W124" s="659"/>
      <c r="X124" s="659"/>
      <c r="Y124" s="659"/>
      <c r="Z124" s="659"/>
      <c r="AA124" s="659"/>
    </row>
    <row r="125" spans="1:27" s="1276" customFormat="1" ht="12.75">
      <c r="A125" s="2050" t="str">
        <f>项目基本情况!I1</f>
        <v>北京市房地产</v>
      </c>
      <c r="B125" s="2060">
        <f>典型户型修正!B25</f>
        <v>456.71000000000004</v>
      </c>
      <c r="C125" s="1424"/>
      <c r="D125" s="2060">
        <f>C36</f>
        <v>0</v>
      </c>
      <c r="E125" s="2060">
        <f>ROUND(IF(H19="元",D125/B125,D125*10000/B125),0)</f>
        <v>0</v>
      </c>
      <c r="F125" s="2060">
        <f>C37</f>
        <v>0</v>
      </c>
      <c r="G125" s="2060">
        <f>ROUND(IF(H19="元",F125/B125,F125*10000/B125),0)</f>
        <v>0</v>
      </c>
      <c r="H125" s="2060">
        <f ca="1">C34</f>
        <v>15562394</v>
      </c>
      <c r="I125" s="52">
        <f ca="1">C35</f>
        <v>340750016</v>
      </c>
      <c r="J125" s="2813"/>
      <c r="K125" s="659"/>
      <c r="L125" s="659"/>
      <c r="M125" s="659"/>
      <c r="N125" s="659"/>
      <c r="O125" s="659"/>
      <c r="P125" s="659"/>
      <c r="Q125" s="659"/>
      <c r="R125" s="659"/>
      <c r="S125" s="659"/>
      <c r="T125" s="659"/>
      <c r="U125" s="659"/>
      <c r="V125" s="659"/>
      <c r="W125" s="659"/>
      <c r="X125" s="659"/>
      <c r="Y125" s="659"/>
      <c r="Z125" s="659"/>
      <c r="AA125" s="659"/>
    </row>
    <row r="126" spans="1:27" s="1276" customFormat="1" ht="12.75">
      <c r="A126" s="3413" t="s">
        <v>2737</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 ca="1">IF(H19="元",NUMBERSTRING(INT(H125),2)&amp;"元整",NUMBERSTRING(INT(H125*10000),2)&amp;"元整")</f>
        <v>壹仟伍佰伍拾陆万贰仟叁佰玖拾肆元整</v>
      </c>
      <c r="I126" s="3442"/>
      <c r="J126" s="2836"/>
      <c r="K126" s="659"/>
      <c r="L126" s="659"/>
      <c r="M126" s="659"/>
      <c r="N126" s="659"/>
      <c r="O126" s="659"/>
      <c r="P126" s="659"/>
      <c r="Q126" s="659"/>
      <c r="R126" s="659"/>
      <c r="S126" s="659"/>
      <c r="T126" s="659"/>
      <c r="U126" s="659"/>
      <c r="V126" s="659"/>
      <c r="W126" s="659"/>
      <c r="X126" s="659"/>
      <c r="Y126" s="659"/>
      <c r="Z126" s="659"/>
      <c r="AA126" s="659"/>
    </row>
    <row r="127" spans="1:27" s="1276" customFormat="1" ht="12.75">
      <c r="A127" s="3418" t="str">
        <f>IF(项目基本情况!D5="房地产市场价值","——",MID(A112,3,LEN(A112)-2))</f>
        <v>估价师所知悉的法定优先受偿款</v>
      </c>
      <c r="B127" s="3424"/>
      <c r="C127" s="3419"/>
      <c r="D127" s="3416">
        <f>I107</f>
        <v>0</v>
      </c>
      <c r="E127" s="3424"/>
      <c r="F127" s="3424"/>
      <c r="G127" s="3424"/>
      <c r="H127" s="3424"/>
      <c r="I127" s="3417"/>
      <c r="J127" s="2829"/>
      <c r="K127" s="659"/>
      <c r="L127" s="659"/>
      <c r="M127" s="659"/>
      <c r="N127" s="659"/>
      <c r="O127" s="659"/>
      <c r="P127" s="659"/>
      <c r="Q127" s="659"/>
      <c r="R127" s="659"/>
      <c r="S127" s="659"/>
      <c r="T127" s="659"/>
      <c r="U127" s="659"/>
      <c r="V127" s="659"/>
      <c r="W127" s="659"/>
      <c r="X127" s="659"/>
      <c r="Y127" s="659"/>
      <c r="Z127" s="659"/>
      <c r="AA127" s="659"/>
    </row>
    <row r="128" spans="1:27" s="1276" customFormat="1" ht="12.75">
      <c r="A128" s="3485" t="s">
        <v>2737</v>
      </c>
      <c r="B128" s="3453"/>
      <c r="C128" s="3454"/>
      <c r="D128" s="3425">
        <f>H111</f>
        <v>0</v>
      </c>
      <c r="E128" s="3426"/>
      <c r="F128" s="3426"/>
      <c r="G128" s="3426"/>
      <c r="H128" s="3426"/>
      <c r="I128" s="3427"/>
      <c r="J128" s="2837"/>
      <c r="K128" s="659"/>
      <c r="L128" s="659"/>
      <c r="M128" s="659"/>
      <c r="N128" s="659"/>
      <c r="O128" s="659"/>
      <c r="P128" s="659"/>
      <c r="Q128" s="659"/>
      <c r="R128" s="659"/>
      <c r="S128" s="659"/>
      <c r="T128" s="659"/>
      <c r="U128" s="659"/>
      <c r="V128" s="659"/>
      <c r="W128" s="659"/>
      <c r="X128" s="659"/>
      <c r="Y128" s="659"/>
      <c r="Z128" s="659"/>
      <c r="AA128" s="659"/>
    </row>
    <row r="129" spans="1:27" s="1276" customFormat="1" ht="12.75">
      <c r="A129" s="3428" t="str">
        <f>IF(项目基本情况!D5="房地产市场价值","——",MID(A116,3,LEN(A116)-2))</f>
        <v>房地产抵押价值</v>
      </c>
      <c r="B129" s="3429"/>
      <c r="C129" s="3429"/>
      <c r="D129" s="3416">
        <f ca="1">I112</f>
        <v>15562394</v>
      </c>
      <c r="E129" s="3424"/>
      <c r="F129" s="3424"/>
      <c r="G129" s="3424"/>
      <c r="H129" s="3424"/>
      <c r="I129" s="3417"/>
      <c r="J129" s="2829"/>
      <c r="K129" s="659"/>
      <c r="L129" s="659"/>
      <c r="M129" s="659"/>
      <c r="N129" s="659"/>
      <c r="O129" s="659"/>
      <c r="P129" s="659"/>
      <c r="Q129" s="659"/>
      <c r="R129" s="659"/>
      <c r="S129" s="659"/>
      <c r="T129" s="659"/>
      <c r="U129" s="659"/>
      <c r="V129" s="659"/>
      <c r="W129" s="659"/>
      <c r="X129" s="659"/>
      <c r="Y129" s="659"/>
      <c r="Z129" s="659"/>
      <c r="AA129" s="659"/>
    </row>
    <row r="130" spans="1:27" s="1276" customFormat="1" ht="12.75">
      <c r="A130" s="3413" t="s">
        <v>2737</v>
      </c>
      <c r="B130" s="3414"/>
      <c r="C130" s="3414"/>
      <c r="D130" s="3425">
        <f ca="1">I113</f>
        <v>340750016</v>
      </c>
      <c r="E130" s="3426"/>
      <c r="F130" s="3426"/>
      <c r="G130" s="3426"/>
      <c r="H130" s="3426"/>
      <c r="I130" s="3427"/>
      <c r="J130" s="2837"/>
      <c r="K130" s="659"/>
      <c r="L130" s="659"/>
      <c r="M130" s="659"/>
      <c r="N130" s="659"/>
      <c r="O130" s="659"/>
      <c r="P130" s="659"/>
      <c r="Q130" s="659"/>
      <c r="R130" s="659"/>
      <c r="S130" s="659"/>
      <c r="T130" s="659"/>
      <c r="U130" s="659"/>
      <c r="V130" s="659"/>
      <c r="W130" s="659"/>
      <c r="X130" s="659"/>
      <c r="Y130" s="659"/>
      <c r="Z130" s="659"/>
      <c r="AA130" s="659"/>
    </row>
    <row r="131" spans="1:27" s="1276" customFormat="1" ht="13.5" thickBot="1">
      <c r="A131" s="3428" t="str">
        <f>IF(项目基本情况!D5="房地产市场价值","——",MID(A118,3,LEN(A118)-2))</f>
        <v/>
      </c>
      <c r="B131" s="3429"/>
      <c r="C131" s="3429"/>
      <c r="D131" s="3461" t="str">
        <f>I114</f>
        <v>——</v>
      </c>
      <c r="E131" s="3462"/>
      <c r="F131" s="3462"/>
      <c r="G131" s="3462"/>
      <c r="H131" s="3462"/>
      <c r="I131" s="3513"/>
      <c r="J131" s="2829"/>
      <c r="K131" s="659"/>
      <c r="L131" s="659"/>
      <c r="M131" s="659"/>
      <c r="N131" s="659"/>
      <c r="O131" s="659"/>
      <c r="P131" s="659"/>
      <c r="Q131" s="659"/>
      <c r="R131" s="659"/>
      <c r="S131" s="659"/>
      <c r="T131" s="659"/>
      <c r="U131" s="659"/>
      <c r="V131" s="659"/>
      <c r="W131" s="659"/>
      <c r="X131" s="659"/>
      <c r="Y131" s="659"/>
      <c r="Z131" s="659"/>
      <c r="AA131" s="659"/>
    </row>
    <row r="132" spans="1:27" s="1276" customFormat="1" ht="14.25" thickTop="1" thickBot="1">
      <c r="A132" s="3413" t="s">
        <v>2737</v>
      </c>
      <c r="B132" s="3414"/>
      <c r="C132" s="3415"/>
      <c r="D132" s="3477" t="str">
        <f>I115</f>
        <v>——</v>
      </c>
      <c r="E132" s="3477"/>
      <c r="F132" s="3477"/>
      <c r="G132" s="3477"/>
      <c r="H132" s="3477"/>
      <c r="I132" s="3477"/>
      <c r="J132" s="2837"/>
      <c r="K132" s="659"/>
      <c r="L132" s="659"/>
      <c r="M132" s="659"/>
      <c r="N132" s="659"/>
      <c r="O132" s="659"/>
      <c r="P132" s="659"/>
      <c r="Q132" s="659"/>
      <c r="R132" s="659"/>
      <c r="S132" s="659"/>
      <c r="T132" s="659"/>
      <c r="U132" s="659"/>
      <c r="V132" s="659"/>
      <c r="W132" s="659"/>
      <c r="X132" s="659"/>
      <c r="Y132" s="659"/>
      <c r="Z132" s="659"/>
      <c r="AA132" s="659"/>
    </row>
    <row r="133" spans="1:27" s="1276" customFormat="1" ht="14.25" thickTop="1" thickBot="1">
      <c r="A133" s="3428" t="str">
        <f>IF(项目基本情况!D5="房地产市场价值","——",MID(F116,3,LEN(F116)-2))</f>
        <v/>
      </c>
      <c r="B133" s="3429"/>
      <c r="C133" s="3416"/>
      <c r="D133" s="3432" t="str">
        <f>I116</f>
        <v>——</v>
      </c>
      <c r="E133" s="3432"/>
      <c r="F133" s="3432"/>
      <c r="G133" s="3432"/>
      <c r="H133" s="3432"/>
      <c r="I133" s="3432"/>
      <c r="J133" s="2829"/>
      <c r="K133" s="659"/>
      <c r="L133" s="659"/>
      <c r="M133" s="659"/>
      <c r="N133" s="659"/>
      <c r="O133" s="659"/>
      <c r="P133" s="659"/>
      <c r="Q133" s="659"/>
      <c r="R133" s="659"/>
      <c r="S133" s="659"/>
      <c r="T133" s="659"/>
      <c r="U133" s="659"/>
      <c r="V133" s="659"/>
      <c r="W133" s="659"/>
      <c r="X133" s="659"/>
      <c r="Y133" s="659"/>
      <c r="Z133" s="659"/>
      <c r="AA133" s="659"/>
    </row>
    <row r="134" spans="1:27" s="1276" customFormat="1" ht="14.25" thickTop="1" thickBot="1">
      <c r="A134" s="3437" t="s">
        <v>2737</v>
      </c>
      <c r="B134" s="3438"/>
      <c r="C134" s="3438"/>
      <c r="D134" s="3443">
        <f>H118</f>
        <v>0</v>
      </c>
      <c r="E134" s="3444"/>
      <c r="F134" s="3444"/>
      <c r="G134" s="3444"/>
      <c r="H134" s="3444"/>
      <c r="I134" s="3445"/>
      <c r="J134" s="2837"/>
      <c r="K134" s="659"/>
      <c r="L134" s="659"/>
      <c r="M134" s="659"/>
      <c r="N134" s="659"/>
      <c r="O134" s="659"/>
      <c r="P134" s="659"/>
      <c r="Q134" s="659"/>
      <c r="R134" s="659"/>
      <c r="S134" s="659"/>
      <c r="T134" s="659"/>
      <c r="U134" s="659"/>
      <c r="V134" s="659"/>
      <c r="W134" s="659"/>
      <c r="X134" s="659"/>
      <c r="Y134" s="659"/>
      <c r="Z134" s="659"/>
      <c r="AA134" s="659"/>
    </row>
    <row r="135" spans="1:27" s="1276" customFormat="1" ht="12.75">
      <c r="A135" s="1449" t="str">
        <f>IF(H19="元","单位：平方米、元、元/平方米（币种：人民币）","单位：平方米、万元、元/平方米（币种：人民币）")</f>
        <v>单位：平方米、元、元/平方米（币种：人民币）</v>
      </c>
      <c r="B135" s="1449"/>
      <c r="C135" s="1449"/>
      <c r="D135" s="1449"/>
      <c r="E135" s="1449"/>
      <c r="F135" s="1449"/>
      <c r="G135" s="1449"/>
      <c r="H135" s="1449"/>
      <c r="I135" s="1449"/>
      <c r="J135" s="2838"/>
      <c r="K135" s="659"/>
      <c r="L135" s="659"/>
      <c r="M135" s="659"/>
      <c r="N135" s="659"/>
      <c r="O135" s="659"/>
      <c r="P135" s="659"/>
      <c r="Q135" s="659"/>
      <c r="R135" s="659"/>
      <c r="S135" s="659"/>
      <c r="T135" s="659"/>
      <c r="U135" s="659"/>
      <c r="V135" s="659"/>
      <c r="W135" s="659"/>
      <c r="X135" s="659"/>
      <c r="Y135" s="659"/>
      <c r="Z135" s="659"/>
      <c r="AA135" s="659"/>
    </row>
    <row r="136" spans="1:27" s="1276" customFormat="1" ht="13.5"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831"/>
      <c r="K136" s="659"/>
      <c r="L136" s="659"/>
      <c r="M136" s="659"/>
      <c r="N136" s="659"/>
      <c r="O136" s="659"/>
      <c r="P136" s="659"/>
      <c r="Q136" s="659"/>
      <c r="R136" s="659"/>
      <c r="S136" s="659"/>
      <c r="T136" s="659"/>
      <c r="U136" s="659"/>
      <c r="V136" s="659"/>
      <c r="W136" s="659"/>
      <c r="X136" s="659"/>
      <c r="Y136" s="659"/>
      <c r="Z136" s="659"/>
      <c r="AA136" s="659"/>
    </row>
    <row r="137" spans="1:27" s="1276" customFormat="1" ht="21.75" customHeight="1">
      <c r="A137" s="1459" t="s">
        <v>1818</v>
      </c>
      <c r="B137" s="1460"/>
      <c r="C137" s="1461" t="s">
        <v>1819</v>
      </c>
      <c r="D137" s="1462"/>
      <c r="E137" s="1462"/>
      <c r="F137" s="1462"/>
      <c r="G137" s="1462"/>
      <c r="H137" s="1463"/>
      <c r="I137" s="1464"/>
      <c r="J137" s="2839"/>
      <c r="K137" s="659"/>
      <c r="L137" s="659"/>
      <c r="M137" s="659"/>
      <c r="N137" s="659"/>
      <c r="O137" s="659"/>
      <c r="P137" s="659"/>
      <c r="Q137" s="659"/>
      <c r="R137" s="659"/>
      <c r="S137" s="659"/>
      <c r="T137" s="659"/>
      <c r="U137" s="659"/>
      <c r="V137" s="659"/>
      <c r="W137" s="659"/>
      <c r="X137" s="659"/>
      <c r="Y137" s="659"/>
      <c r="Z137" s="659"/>
      <c r="AA137" s="659"/>
    </row>
    <row r="138" spans="1:27" s="1276" customFormat="1" ht="21.75" customHeight="1">
      <c r="A138" s="1465">
        <v>1</v>
      </c>
      <c r="B138" s="1466"/>
      <c r="C138" s="1466"/>
      <c r="D138" s="1462"/>
      <c r="E138" s="1462"/>
      <c r="F138" s="1462"/>
      <c r="G138" s="1462"/>
      <c r="H138" s="1463"/>
      <c r="I138" s="1464"/>
      <c r="J138" s="2839"/>
      <c r="K138" s="659"/>
      <c r="L138" s="659"/>
      <c r="M138" s="659"/>
      <c r="N138" s="659"/>
      <c r="O138" s="659"/>
      <c r="P138" s="659"/>
      <c r="Q138" s="659"/>
      <c r="R138" s="659"/>
      <c r="S138" s="659"/>
      <c r="T138" s="659"/>
      <c r="U138" s="659"/>
      <c r="V138" s="659"/>
      <c r="W138" s="659"/>
      <c r="X138" s="659"/>
      <c r="Y138" s="659"/>
      <c r="Z138" s="659"/>
      <c r="AA138" s="659"/>
    </row>
    <row r="139" spans="1:27" s="1276" customFormat="1" ht="21.75" customHeight="1">
      <c r="A139" s="1465">
        <v>2</v>
      </c>
      <c r="B139" s="1466"/>
      <c r="C139" s="1466"/>
      <c r="D139" s="1462"/>
      <c r="E139" s="1462"/>
      <c r="F139" s="1462"/>
      <c r="G139" s="1462"/>
      <c r="H139" s="1463"/>
      <c r="I139" s="1464"/>
      <c r="J139" s="2839"/>
      <c r="K139" s="659"/>
      <c r="L139" s="659"/>
      <c r="M139" s="659"/>
      <c r="N139" s="659"/>
      <c r="O139" s="659"/>
      <c r="P139" s="659"/>
      <c r="Q139" s="659"/>
      <c r="R139" s="659"/>
      <c r="S139" s="659"/>
      <c r="T139" s="659"/>
      <c r="U139" s="659"/>
      <c r="V139" s="659"/>
      <c r="W139" s="659"/>
      <c r="X139" s="659"/>
      <c r="Y139" s="659"/>
      <c r="Z139" s="659"/>
      <c r="AA139" s="659"/>
    </row>
    <row r="140" spans="1:27" s="1276" customFormat="1" ht="21.75" customHeight="1">
      <c r="A140" s="1465">
        <v>3</v>
      </c>
      <c r="B140" s="1466"/>
      <c r="C140" s="1466"/>
      <c r="D140" s="1462"/>
      <c r="E140" s="1462"/>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6" customFormat="1" ht="21.75" customHeight="1">
      <c r="A141" s="1467"/>
      <c r="B141" s="1468"/>
      <c r="C141" s="1468"/>
      <c r="D141" s="1469"/>
      <c r="E141" s="1469"/>
      <c r="F141" s="1469"/>
      <c r="G141" s="1469"/>
      <c r="H141" s="1470"/>
      <c r="I141" s="1471"/>
      <c r="J141" s="2839"/>
      <c r="K141" s="659"/>
      <c r="L141" s="659"/>
      <c r="M141" s="659"/>
      <c r="N141" s="659"/>
      <c r="O141" s="659"/>
      <c r="P141" s="659"/>
      <c r="Q141" s="659"/>
      <c r="R141" s="659"/>
      <c r="S141" s="659"/>
      <c r="T141" s="659"/>
      <c r="U141" s="659"/>
      <c r="V141" s="659"/>
      <c r="W141" s="659"/>
      <c r="X141" s="659"/>
      <c r="Y141" s="659"/>
      <c r="Z141" s="659"/>
      <c r="AA141" s="659"/>
    </row>
    <row r="142" spans="1:27" s="1276" customFormat="1" ht="21.75" customHeight="1">
      <c r="A142" s="1466"/>
      <c r="B142" s="1466"/>
      <c r="C142" s="1466"/>
      <c r="D142" s="1462"/>
      <c r="E142" s="1462"/>
      <c r="F142" s="1462"/>
      <c r="G142" s="1462"/>
      <c r="H142" s="1463"/>
      <c r="I142" s="659"/>
      <c r="J142" s="2840"/>
      <c r="K142" s="659"/>
      <c r="L142" s="659"/>
      <c r="M142" s="659"/>
      <c r="N142" s="659"/>
      <c r="O142" s="659"/>
      <c r="P142" s="659"/>
      <c r="Q142" s="659"/>
      <c r="R142" s="659"/>
      <c r="S142" s="659"/>
      <c r="T142" s="659"/>
      <c r="U142" s="659"/>
      <c r="V142" s="659"/>
      <c r="W142" s="659"/>
      <c r="X142" s="659"/>
      <c r="Y142" s="659"/>
      <c r="Z142" s="659"/>
      <c r="AA142" s="659"/>
    </row>
    <row r="143" spans="1:27" s="1276" customFormat="1" ht="21.75" customHeight="1">
      <c r="A143" s="659"/>
      <c r="B143" s="659"/>
      <c r="C143" s="659"/>
      <c r="D143" s="659"/>
      <c r="E143" s="659"/>
      <c r="F143" s="1472" t="s">
        <v>1820</v>
      </c>
      <c r="G143" s="1473"/>
      <c r="H143" s="1473"/>
      <c r="I143" s="1474" t="s">
        <v>1821</v>
      </c>
      <c r="J143" s="2841"/>
      <c r="K143" s="659"/>
      <c r="L143" s="659"/>
      <c r="M143" s="659"/>
      <c r="N143" s="659"/>
      <c r="O143" s="659"/>
      <c r="P143" s="659"/>
      <c r="Q143" s="659"/>
      <c r="R143" s="659"/>
      <c r="S143" s="659"/>
      <c r="T143" s="659"/>
      <c r="U143" s="659"/>
      <c r="V143" s="659"/>
      <c r="W143" s="659"/>
      <c r="X143" s="659"/>
      <c r="Y143" s="659"/>
      <c r="Z143" s="659"/>
      <c r="AA143" s="659"/>
    </row>
    <row r="144" spans="1:27" s="1276" customFormat="1" ht="21.75" customHeight="1">
      <c r="A144" s="659"/>
      <c r="B144" s="1475"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6"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6" customFormat="1" ht="21.75" customHeight="1">
      <c r="A146" s="659"/>
      <c r="B146" s="1473"/>
      <c r="C146" s="1473"/>
      <c r="D146" s="1473"/>
      <c r="E146" s="1473"/>
      <c r="F146" s="1473"/>
      <c r="G146" s="1473"/>
      <c r="H146" s="1473"/>
      <c r="I146" s="1474" t="s">
        <v>1823</v>
      </c>
      <c r="J146" s="2841"/>
      <c r="K146" s="659"/>
      <c r="L146" s="659"/>
      <c r="M146" s="659"/>
      <c r="N146" s="659"/>
      <c r="O146" s="659"/>
      <c r="P146" s="659"/>
      <c r="Q146" s="659"/>
      <c r="R146" s="659"/>
      <c r="S146" s="659"/>
      <c r="T146" s="659"/>
      <c r="U146" s="659"/>
      <c r="V146" s="659"/>
      <c r="W146" s="659"/>
      <c r="X146" s="659"/>
      <c r="Y146" s="659"/>
      <c r="Z146" s="659"/>
      <c r="AA146" s="659"/>
    </row>
    <row r="147" spans="1:27" s="1276" customFormat="1" ht="21.75" customHeight="1">
      <c r="A147" s="659"/>
      <c r="B147" s="1475"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6" customFormat="1" ht="21.75" customHeight="1">
      <c r="A148" s="659"/>
      <c r="B148" s="1475"/>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6" customFormat="1" ht="21.75" customHeight="1">
      <c r="A149" s="659"/>
      <c r="B149" s="1473"/>
      <c r="C149" s="1473"/>
      <c r="D149" s="1473"/>
      <c r="E149" s="1473"/>
      <c r="F149" s="1473"/>
      <c r="G149" s="1473"/>
      <c r="H149" s="1473"/>
      <c r="I149" s="1474" t="s">
        <v>1823</v>
      </c>
      <c r="J149" s="2841"/>
      <c r="K149" s="659"/>
      <c r="L149" s="659"/>
      <c r="M149" s="659"/>
      <c r="N149" s="659"/>
      <c r="O149" s="659"/>
      <c r="P149" s="659"/>
      <c r="Q149" s="659"/>
      <c r="R149" s="659"/>
      <c r="S149" s="659"/>
      <c r="T149" s="659"/>
      <c r="U149" s="659"/>
      <c r="V149" s="659"/>
      <c r="W149" s="659"/>
      <c r="X149" s="659"/>
      <c r="Y149" s="659"/>
      <c r="Z149" s="659"/>
      <c r="AA149" s="659"/>
    </row>
    <row r="150" spans="1:27" s="1276" customFormat="1" ht="21.75" customHeight="1">
      <c r="A150" s="659"/>
      <c r="B150" s="1475"/>
      <c r="C150" s="1476"/>
      <c r="D150" s="1477"/>
      <c r="E150" s="1477"/>
      <c r="F150" s="1478"/>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6"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6"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6"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6"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6"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6"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6"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6"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6"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6"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6"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6"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6"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6"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6"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6"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6"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6"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6"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6"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6"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6"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6"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6"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6"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6"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6"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6"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6"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6"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6"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6"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6"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6"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6"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6"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6"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6"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6"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6"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6"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6"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6"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6"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6"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6"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6"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6"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6"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6"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6"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6"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6"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6"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6"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6"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6"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6"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6"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6"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6"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6"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6"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6"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6"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6"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6"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6"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6"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6"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6"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6"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6"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6"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6"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6"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6"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6"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6"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6"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6"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6"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6"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6"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6"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6"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6"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6"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6"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6"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6"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6"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6"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6"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6"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6"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6"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6"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6"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6"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6"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6"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6"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6"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6"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6"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6"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6"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6"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6"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6"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6"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6"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6"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6"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6"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6"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6"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6"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6"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6"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6"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6"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6"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6"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6"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6"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6"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6"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6"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6"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6"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6"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6"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6"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6"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6"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6" customFormat="1" ht="21.75" customHeight="1">
      <c r="F520" s="1430"/>
      <c r="G520" s="1430"/>
      <c r="H520" s="1430"/>
      <c r="I520" s="1430"/>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E64" sqref="E64"/>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2436</v>
      </c>
      <c r="B1" s="2066"/>
      <c r="C1" s="2067" t="s">
        <v>2437</v>
      </c>
      <c r="D1" s="2068">
        <f>SUM(D29:D30,D33:D39)</f>
        <v>259.41000000000003</v>
      </c>
      <c r="E1" s="2068"/>
      <c r="F1" s="2068"/>
      <c r="G1" s="2068"/>
      <c r="H1" s="2068"/>
      <c r="I1" s="2068"/>
      <c r="J1" s="2068"/>
      <c r="K1" s="3017"/>
      <c r="L1" s="2069" t="s">
        <v>2438</v>
      </c>
      <c r="M1" s="2070">
        <f>SUMPRODUCT((区片价!B5:B9=I2)*(区片价!C3:F3=E2)*(区片价!C5:F9))</f>
        <v>29780</v>
      </c>
      <c r="N1" s="2071">
        <f>SUMPRODUCT((因素修正幅度!B5:B9=I2)*(因素修正幅度!C3:F3=E2)*(因素修正幅度!C5:F9))</f>
        <v>9.8000000000000004E-2</v>
      </c>
      <c r="O1" s="3017"/>
      <c r="P1" s="3017"/>
      <c r="Q1" s="3017"/>
      <c r="R1" s="2072" t="s">
        <v>2439</v>
      </c>
      <c r="S1" s="2072" t="s">
        <v>2440</v>
      </c>
      <c r="T1" s="2072" t="s">
        <v>2441</v>
      </c>
      <c r="U1" s="2072" t="s">
        <v>2442</v>
      </c>
      <c r="V1" s="2072" t="s">
        <v>2443</v>
      </c>
      <c r="W1" s="2073"/>
      <c r="X1" s="2073"/>
      <c r="Y1" s="2073"/>
      <c r="Z1" s="2073"/>
      <c r="AA1" s="2073"/>
      <c r="AB1" s="2073"/>
      <c r="AC1" s="2073"/>
      <c r="AD1" s="2074"/>
      <c r="AE1" s="2074"/>
      <c r="AF1" s="2074"/>
      <c r="AG1" s="2074"/>
      <c r="AH1" s="2074"/>
      <c r="AI1" s="2074"/>
      <c r="AJ1" s="2075"/>
    </row>
    <row r="2" spans="1:36" ht="24.75">
      <c r="A2" s="1929" t="s">
        <v>2444</v>
      </c>
      <c r="B2" s="1627">
        <f>C26</f>
        <v>9795581</v>
      </c>
      <c r="C2" s="2076" t="s">
        <v>2445</v>
      </c>
      <c r="D2" s="1570" t="s">
        <v>2446</v>
      </c>
      <c r="E2" s="2077" t="s">
        <v>2982</v>
      </c>
      <c r="F2" s="1570" t="s">
        <v>2447</v>
      </c>
      <c r="G2" s="2078" t="str">
        <f>项目基本情况!F9</f>
        <v>一级</v>
      </c>
      <c r="H2" s="1571" t="s">
        <v>2448</v>
      </c>
      <c r="I2" s="2078" t="str">
        <f>项目基本情况!F10</f>
        <v>Ⅰ—04</v>
      </c>
      <c r="J2" s="2079"/>
      <c r="K2" s="3017"/>
      <c r="L2" s="2080" t="s">
        <v>2449</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1.9361999999999999</v>
      </c>
      <c r="T2" s="2072">
        <f>ROUND($C$5*$C$18*$C$19*$C$20*S2*$C$24,0)</f>
        <v>73113</v>
      </c>
      <c r="U2" s="2083"/>
      <c r="V2" s="2072">
        <f t="shared" ref="V2:V8" si="0">ROUND(T2*U2,0)</f>
        <v>0</v>
      </c>
      <c r="W2" s="2073"/>
      <c r="X2" s="2073"/>
      <c r="Y2" s="2073"/>
      <c r="Z2" s="2073"/>
      <c r="AA2" s="2073"/>
      <c r="AB2" s="2073"/>
      <c r="AC2" s="2073"/>
      <c r="AD2" s="2074"/>
      <c r="AE2" s="2074"/>
      <c r="AF2" s="2074"/>
      <c r="AG2" s="2074"/>
      <c r="AH2" s="2074"/>
      <c r="AI2" s="2074"/>
      <c r="AJ2" s="2075"/>
    </row>
    <row r="3" spans="1:36" ht="25.5">
      <c r="A3" s="1627" t="s">
        <v>2450</v>
      </c>
      <c r="B3" s="1627">
        <f>ROUND(B2/D1,0)</f>
        <v>37761</v>
      </c>
      <c r="C3" s="2076" t="s">
        <v>2451</v>
      </c>
      <c r="D3" s="1570" t="s">
        <v>2452</v>
      </c>
      <c r="E3" s="2077" t="s">
        <v>2992</v>
      </c>
      <c r="F3" s="1572" t="s">
        <v>2453</v>
      </c>
      <c r="G3" s="2084">
        <f>项目基本情况!C15</f>
        <v>3.5</v>
      </c>
      <c r="H3" s="50" t="s">
        <v>2454</v>
      </c>
      <c r="I3" s="2085"/>
      <c r="J3" s="2079" t="s">
        <v>2455</v>
      </c>
      <c r="K3" s="3017"/>
      <c r="L3" s="2080" t="s">
        <v>2456</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1.4198</v>
      </c>
      <c r="T3" s="2072">
        <f t="shared" ref="T3:T16" si="1">ROUND($C$5*$C$18*$C$19*$C$20*S3*$C$24,0)</f>
        <v>53613</v>
      </c>
      <c r="U3" s="2083"/>
      <c r="V3" s="2072">
        <f t="shared" si="0"/>
        <v>0</v>
      </c>
      <c r="W3" s="2073"/>
      <c r="X3" s="2073"/>
      <c r="Y3" s="2073"/>
      <c r="Z3" s="2073"/>
      <c r="AA3" s="2073"/>
      <c r="AB3" s="2073"/>
      <c r="AC3" s="2073"/>
      <c r="AD3" s="2074"/>
      <c r="AE3" s="2074"/>
      <c r="AF3" s="2074"/>
      <c r="AG3" s="2074"/>
      <c r="AH3" s="2074"/>
      <c r="AI3" s="2074"/>
      <c r="AJ3" s="2075"/>
    </row>
    <row r="4" spans="1:36" ht="15.75">
      <c r="A4" s="3552"/>
      <c r="B4" s="3553"/>
      <c r="C4" s="3553"/>
      <c r="D4" s="3554"/>
      <c r="E4" s="3554"/>
      <c r="F4" s="3554"/>
      <c r="G4" s="3554"/>
      <c r="H4" s="3554"/>
      <c r="I4" s="3554"/>
      <c r="J4" s="3555"/>
      <c r="K4" s="3017"/>
      <c r="L4" s="2080" t="s">
        <v>2457</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1.1594</v>
      </c>
      <c r="T4" s="2072">
        <f t="shared" si="1"/>
        <v>43780</v>
      </c>
      <c r="U4" s="2083"/>
      <c r="V4" s="2072">
        <f t="shared" si="0"/>
        <v>0</v>
      </c>
      <c r="W4" s="2073"/>
      <c r="X4" s="2073"/>
      <c r="Y4" s="2073"/>
      <c r="Z4" s="2073"/>
      <c r="AA4" s="2073"/>
      <c r="AB4" s="2073"/>
      <c r="AC4" s="2073"/>
      <c r="AD4" s="2074"/>
      <c r="AE4" s="2074"/>
      <c r="AF4" s="2074"/>
      <c r="AG4" s="2074"/>
      <c r="AH4" s="2074"/>
      <c r="AI4" s="2074"/>
      <c r="AJ4" s="2075"/>
    </row>
    <row r="5" spans="1:36" s="2093" customFormat="1" ht="15.75" thickBot="1">
      <c r="A5" s="1573" t="s">
        <v>2458</v>
      </c>
      <c r="B5" s="1573" t="s">
        <v>2459</v>
      </c>
      <c r="C5" s="2086">
        <f>ROUND(IF(E2="商业",C6*C7+C16,(IF(E2="住宅",C6*C12+C16,C6+C16))),0)</f>
        <v>29749</v>
      </c>
      <c r="D5" s="2087">
        <f>ROUND(C6+C16,0)</f>
        <v>29749</v>
      </c>
      <c r="E5" s="2087"/>
      <c r="F5" s="2088"/>
      <c r="G5" s="2089"/>
      <c r="H5" s="2089"/>
      <c r="I5" s="2089"/>
      <c r="J5" s="2046"/>
      <c r="K5" s="1635"/>
      <c r="L5" s="2080" t="s">
        <v>2460</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0.96220000000000006</v>
      </c>
      <c r="T5" s="2072">
        <f t="shared" si="1"/>
        <v>36334</v>
      </c>
      <c r="U5" s="2083"/>
      <c r="V5" s="2072">
        <f t="shared" si="0"/>
        <v>0</v>
      </c>
      <c r="W5" s="2073"/>
      <c r="X5" s="2073"/>
      <c r="Y5" s="2073"/>
      <c r="Z5" s="2073"/>
      <c r="AA5" s="2073"/>
      <c r="AB5" s="2073"/>
      <c r="AC5" s="2090"/>
      <c r="AD5" s="2091"/>
      <c r="AE5" s="2091"/>
      <c r="AF5" s="2091"/>
      <c r="AG5" s="2091"/>
      <c r="AH5" s="2091"/>
      <c r="AI5" s="2091"/>
      <c r="AJ5" s="2092"/>
    </row>
    <row r="6" spans="1:36" ht="15.75" thickBot="1">
      <c r="A6" s="2094">
        <v>1</v>
      </c>
      <c r="B6" s="1574" t="s">
        <v>2461</v>
      </c>
      <c r="C6" s="2095">
        <f>SUMIF(L1:L12,G2,M1:M12)</f>
        <v>29780</v>
      </c>
      <c r="D6" s="2096" t="s">
        <v>2462</v>
      </c>
      <c r="E6" s="1574"/>
      <c r="F6" s="1574"/>
      <c r="G6" s="2097"/>
      <c r="H6" s="2097"/>
      <c r="I6" s="2097"/>
      <c r="J6" s="2098"/>
      <c r="K6" s="3018"/>
      <c r="L6" s="2080" t="s">
        <v>2463</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0.8417</v>
      </c>
      <c r="T6" s="2072">
        <f t="shared" si="1"/>
        <v>31784</v>
      </c>
      <c r="U6" s="2083"/>
      <c r="V6" s="2072">
        <f t="shared" si="0"/>
        <v>0</v>
      </c>
      <c r="W6" s="2073"/>
      <c r="X6" s="2073"/>
      <c r="Y6" s="2073"/>
      <c r="Z6" s="2073"/>
      <c r="AA6" s="2073"/>
      <c r="AB6" s="2073"/>
      <c r="AC6" s="2090"/>
      <c r="AD6" s="2091"/>
      <c r="AE6" s="2091"/>
      <c r="AF6" s="2091"/>
      <c r="AG6" s="2091"/>
      <c r="AH6" s="2091"/>
      <c r="AI6" s="2091"/>
      <c r="AJ6" s="2092"/>
    </row>
    <row r="7" spans="1:36" ht="24">
      <c r="A7" s="3556" t="str">
        <f>IF(E2="商业",IF(C8="不临58条商业街","",2),"")</f>
        <v/>
      </c>
      <c r="B7" s="1575" t="s">
        <v>2464</v>
      </c>
      <c r="C7" s="2099">
        <f>IF(C8="不临58条商业街",1,ROUND(1+(1.6*E8+1.2*E9+0.8*E10+0.4*E11)*C9,4))</f>
        <v>1</v>
      </c>
      <c r="D7" s="2100" t="s">
        <v>2465</v>
      </c>
      <c r="E7" s="2101"/>
      <c r="F7" s="2102"/>
      <c r="G7" s="2102"/>
      <c r="H7" s="2102"/>
      <c r="I7" s="2102"/>
      <c r="J7" s="2103"/>
      <c r="K7" s="3018"/>
      <c r="L7" s="2080" t="s">
        <v>2466</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0.76080000000000003</v>
      </c>
      <c r="T7" s="2072">
        <f t="shared" si="1"/>
        <v>28729</v>
      </c>
      <c r="U7" s="2083"/>
      <c r="V7" s="2072">
        <f t="shared" si="0"/>
        <v>0</v>
      </c>
      <c r="W7" s="2104" t="s">
        <v>2467</v>
      </c>
      <c r="X7" s="2105" t="str">
        <f>G2</f>
        <v>一级</v>
      </c>
      <c r="Y7" s="2105" t="s">
        <v>2468</v>
      </c>
      <c r="Z7" s="2106">
        <f>G3</f>
        <v>3.5</v>
      </c>
      <c r="AA7" s="2073"/>
      <c r="AB7" s="2073"/>
      <c r="AC7" s="2073"/>
      <c r="AD7" s="2074"/>
      <c r="AE7" s="2074"/>
      <c r="AF7" s="2074"/>
      <c r="AG7" s="2074"/>
      <c r="AH7" s="2074"/>
      <c r="AI7" s="2074"/>
      <c r="AJ7" s="2075"/>
    </row>
    <row r="8" spans="1:36" ht="15">
      <c r="A8" s="3557"/>
      <c r="B8" s="50" t="s">
        <v>2469</v>
      </c>
      <c r="C8" s="2107" t="s">
        <v>3008</v>
      </c>
      <c r="D8" s="65" t="s">
        <v>89</v>
      </c>
      <c r="E8" s="2108" t="e">
        <f>ROUND(C11/E7,4)</f>
        <v>#DIV/0!</v>
      </c>
      <c r="F8" s="2109" t="s">
        <v>2470</v>
      </c>
      <c r="G8" s="2110"/>
      <c r="H8" s="2110"/>
      <c r="I8" s="2110"/>
      <c r="J8" s="2111"/>
      <c r="K8" s="3017"/>
      <c r="L8" s="2080" t="s">
        <v>2471</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1"/>
        <v>0</v>
      </c>
      <c r="U8" s="2083"/>
      <c r="V8" s="2072">
        <f t="shared" si="0"/>
        <v>0</v>
      </c>
      <c r="W8" s="3550" t="s">
        <v>2472</v>
      </c>
      <c r="X8" s="3551"/>
      <c r="Y8" s="2112" t="s">
        <v>2473</v>
      </c>
      <c r="Z8" s="2112" t="s">
        <v>2474</v>
      </c>
      <c r="AA8" s="2112" t="s">
        <v>2475</v>
      </c>
      <c r="AB8" s="2112" t="s">
        <v>2476</v>
      </c>
      <c r="AC8" s="2112" t="s">
        <v>2477</v>
      </c>
      <c r="AD8" s="2112" t="s">
        <v>2478</v>
      </c>
      <c r="AE8" s="2112" t="s">
        <v>2479</v>
      </c>
      <c r="AF8" s="2112" t="s">
        <v>2480</v>
      </c>
      <c r="AG8" s="2112" t="s">
        <v>2481</v>
      </c>
      <c r="AH8" s="2112" t="s">
        <v>2482</v>
      </c>
      <c r="AI8" s="2112" t="s">
        <v>2483</v>
      </c>
      <c r="AJ8" s="2112" t="s">
        <v>2484</v>
      </c>
    </row>
    <row r="9" spans="1:36" ht="15">
      <c r="A9" s="3557"/>
      <c r="B9" s="50" t="s">
        <v>2485</v>
      </c>
      <c r="C9" s="2113">
        <f>SUMIF(修正!C59:C119,C8,修正!E59:E119)</f>
        <v>0</v>
      </c>
      <c r="D9" s="50" t="s">
        <v>90</v>
      </c>
      <c r="E9" s="50" t="e">
        <f>ROUND(C11/E7,4)</f>
        <v>#DIV/0!</v>
      </c>
      <c r="F9" s="2109" t="s">
        <v>2486</v>
      </c>
      <c r="G9" s="2110"/>
      <c r="H9" s="2110"/>
      <c r="I9" s="2110"/>
      <c r="J9" s="2111"/>
      <c r="K9" s="3017"/>
      <c r="L9" s="2080" t="s">
        <v>2487</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1"/>
        <v>0</v>
      </c>
      <c r="U9" s="2083"/>
      <c r="V9" s="2072">
        <f t="shared" ref="V9:V16" si="2">ROUND(T9*U9,0)</f>
        <v>0</v>
      </c>
      <c r="W9" s="3551" t="s">
        <v>2488</v>
      </c>
      <c r="X9" s="2114" t="s">
        <v>2489</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557"/>
      <c r="B10" s="50" t="s">
        <v>2490</v>
      </c>
      <c r="C10" s="50">
        <f>SUMIF(修正!C59:C119,C8,修正!F59:F119)</f>
        <v>0</v>
      </c>
      <c r="D10" s="50" t="s">
        <v>91</v>
      </c>
      <c r="E10" s="50" t="e">
        <f>ROUND(C11/E7,4)</f>
        <v>#DIV/0!</v>
      </c>
      <c r="F10" s="2109" t="s">
        <v>2491</v>
      </c>
      <c r="G10" s="2110"/>
      <c r="H10" s="2110"/>
      <c r="I10" s="2110"/>
      <c r="J10" s="2111"/>
      <c r="K10" s="3017"/>
      <c r="L10" s="2080" t="s">
        <v>2492</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1"/>
        <v>0</v>
      </c>
      <c r="U10" s="2083"/>
      <c r="V10" s="2072">
        <f t="shared" si="2"/>
        <v>0</v>
      </c>
      <c r="W10" s="355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557"/>
      <c r="B11" s="1576" t="s">
        <v>2493</v>
      </c>
      <c r="C11" s="1576">
        <f>C10/4</f>
        <v>0</v>
      </c>
      <c r="D11" s="1576" t="s">
        <v>92</v>
      </c>
      <c r="E11" s="1576" t="e">
        <f>ROUND(C11/E7,4)</f>
        <v>#DIV/0!</v>
      </c>
      <c r="F11" s="2118" t="s">
        <v>2494</v>
      </c>
      <c r="G11" s="2119"/>
      <c r="H11" s="2119"/>
      <c r="I11" s="2119"/>
      <c r="J11" s="2120"/>
      <c r="K11" s="3017"/>
      <c r="L11" s="2080" t="s">
        <v>2495</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1"/>
        <v>0</v>
      </c>
      <c r="U11" s="2083"/>
      <c r="V11" s="2072">
        <f t="shared" si="2"/>
        <v>0</v>
      </c>
      <c r="W11" s="3551" t="s">
        <v>2496</v>
      </c>
      <c r="X11" s="2121" t="s">
        <v>2497</v>
      </c>
      <c r="Y11" s="2122">
        <f>$G$3</f>
        <v>3.5</v>
      </c>
      <c r="Z11" s="2122">
        <f t="shared" ref="Z11:AJ11" si="4">$G$3</f>
        <v>3.5</v>
      </c>
      <c r="AA11" s="2122">
        <f t="shared" si="4"/>
        <v>3.5</v>
      </c>
      <c r="AB11" s="2122">
        <f t="shared" si="4"/>
        <v>3.5</v>
      </c>
      <c r="AC11" s="2122">
        <f t="shared" si="4"/>
        <v>3.5</v>
      </c>
      <c r="AD11" s="2122">
        <f t="shared" si="4"/>
        <v>3.5</v>
      </c>
      <c r="AE11" s="2122">
        <f t="shared" si="4"/>
        <v>3.5</v>
      </c>
      <c r="AF11" s="2122">
        <f t="shared" si="4"/>
        <v>3.5</v>
      </c>
      <c r="AG11" s="2122">
        <f t="shared" si="4"/>
        <v>3.5</v>
      </c>
      <c r="AH11" s="2122">
        <f t="shared" si="4"/>
        <v>3.5</v>
      </c>
      <c r="AI11" s="2122">
        <f t="shared" si="4"/>
        <v>3.5</v>
      </c>
      <c r="AJ11" s="2122">
        <f t="shared" si="4"/>
        <v>3.5</v>
      </c>
    </row>
    <row r="12" spans="1:36" ht="25.5" thickBot="1">
      <c r="A12" s="3556" t="str">
        <f>IF(E2="住宅",2,"")</f>
        <v/>
      </c>
      <c r="B12" s="1577" t="s">
        <v>2498</v>
      </c>
      <c r="C12" s="2099">
        <f>ROUND(C15*D15*E15*F15*G15*H15*I15*J15,4)</f>
        <v>1.32</v>
      </c>
      <c r="D12" s="2123" t="s">
        <v>2499</v>
      </c>
      <c r="E12" s="2124"/>
      <c r="F12" s="2124"/>
      <c r="G12" s="2124"/>
      <c r="H12" s="2124"/>
      <c r="I12" s="2124"/>
      <c r="J12" s="2125"/>
      <c r="K12" s="3017"/>
      <c r="L12" s="2126" t="s">
        <v>2500</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1"/>
        <v>0</v>
      </c>
      <c r="U12" s="2083"/>
      <c r="V12" s="2072">
        <f t="shared" si="2"/>
        <v>0</v>
      </c>
      <c r="W12" s="3551"/>
      <c r="X12" s="2129" t="s">
        <v>2501</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558"/>
      <c r="B13" s="1578" t="s">
        <v>2502</v>
      </c>
      <c r="C13" s="2130" t="s">
        <v>2503</v>
      </c>
      <c r="D13" s="1579" t="s">
        <v>2504</v>
      </c>
      <c r="E13" s="1579" t="s">
        <v>2505</v>
      </c>
      <c r="F13" s="264" t="s">
        <v>2506</v>
      </c>
      <c r="G13" s="2131" t="s">
        <v>2507</v>
      </c>
      <c r="H13" s="2131" t="s">
        <v>2507</v>
      </c>
      <c r="I13" s="2131" t="s">
        <v>2507</v>
      </c>
      <c r="J13" s="2132" t="s">
        <v>2507</v>
      </c>
      <c r="K13" s="3017"/>
      <c r="L13" s="3017"/>
      <c r="M13" s="3017"/>
      <c r="N13" s="3017"/>
      <c r="O13" s="3017"/>
      <c r="P13" s="3017"/>
      <c r="Q13" s="3017"/>
      <c r="R13" s="2072">
        <v>12</v>
      </c>
      <c r="S13" s="2083"/>
      <c r="T13" s="2072">
        <f t="shared" si="1"/>
        <v>0</v>
      </c>
      <c r="U13" s="2083"/>
      <c r="V13" s="2072">
        <f t="shared" si="2"/>
        <v>0</v>
      </c>
      <c r="W13" s="3551"/>
      <c r="X13" s="2129"/>
      <c r="Y13" s="2117">
        <f>(-0.163*(Y12^2)-0.59*Y12+7617)*(10^(-4))/Y11</f>
        <v>0.21762857142857145</v>
      </c>
      <c r="Z13" s="2117">
        <f t="shared" ref="Z13:AJ13" si="6">(-0.163*(Z12^2)-0.59*Z12+7617)*(10^(-4))/Z11</f>
        <v>0.21762857142857145</v>
      </c>
      <c r="AA13" s="2117">
        <f t="shared" si="6"/>
        <v>0.21762857142857145</v>
      </c>
      <c r="AB13" s="2117">
        <f t="shared" si="6"/>
        <v>0.21762857142857145</v>
      </c>
      <c r="AC13" s="2117">
        <f t="shared" si="6"/>
        <v>0.21762857142857145</v>
      </c>
      <c r="AD13" s="2117">
        <f t="shared" si="6"/>
        <v>0.21762857142857145</v>
      </c>
      <c r="AE13" s="2117">
        <f t="shared" si="6"/>
        <v>0.21762857142857145</v>
      </c>
      <c r="AF13" s="2117">
        <f t="shared" si="6"/>
        <v>0.21762857142857145</v>
      </c>
      <c r="AG13" s="2117">
        <f t="shared" si="6"/>
        <v>0.21762857142857145</v>
      </c>
      <c r="AH13" s="2117">
        <f t="shared" si="6"/>
        <v>0.21762857142857145</v>
      </c>
      <c r="AI13" s="2117">
        <f t="shared" si="6"/>
        <v>0.21762857142857145</v>
      </c>
      <c r="AJ13" s="2117">
        <f t="shared" si="6"/>
        <v>0.21762857142857145</v>
      </c>
    </row>
    <row r="14" spans="1:36" ht="15">
      <c r="A14" s="3558"/>
      <c r="B14" s="1579"/>
      <c r="C14" s="2133" t="s">
        <v>2508</v>
      </c>
      <c r="D14" s="2134" t="s">
        <v>2509</v>
      </c>
      <c r="E14" s="2134" t="s">
        <v>2509</v>
      </c>
      <c r="F14" s="2135" t="s">
        <v>2510</v>
      </c>
      <c r="G14" s="2136" t="s">
        <v>2511</v>
      </c>
      <c r="H14" s="2137"/>
      <c r="I14" s="2138"/>
      <c r="J14" s="2139"/>
      <c r="K14" s="3017"/>
      <c r="L14" s="3017"/>
      <c r="M14" s="3017"/>
      <c r="N14" s="3017"/>
      <c r="O14" s="3017"/>
      <c r="P14" s="3017"/>
      <c r="Q14" s="3017"/>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559"/>
      <c r="B15" s="1580" t="s">
        <v>2512</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560">
        <f>IF(E2="办公",2,IF(E2="工业",2,IF(E2="住宅",3,IF(E2="商业",IF(C8="不临58条商业街",2,3)))))</f>
        <v>2</v>
      </c>
      <c r="B16" s="1599" t="s">
        <v>2518</v>
      </c>
      <c r="C16" s="1575">
        <f>ROUND(IF(F17="与级别开发程度一致",0,(G17-E17)/C17),0)</f>
        <v>-31</v>
      </c>
      <c r="D16" s="3573" t="s">
        <v>2522</v>
      </c>
      <c r="E16" s="3574"/>
      <c r="F16" s="3573" t="s">
        <v>2519</v>
      </c>
      <c r="G16" s="3574"/>
      <c r="H16" s="2143" t="s">
        <v>2993</v>
      </c>
      <c r="I16" s="2143" t="s">
        <v>3009</v>
      </c>
      <c r="J16" s="2144" t="s">
        <v>2994</v>
      </c>
      <c r="K16" s="2143" t="s">
        <v>2995</v>
      </c>
      <c r="L16" s="2143" t="s">
        <v>2996</v>
      </c>
      <c r="M16" s="2143" t="s">
        <v>2997</v>
      </c>
      <c r="N16" s="2143" t="s">
        <v>1184</v>
      </c>
      <c r="O16" s="2145" t="s">
        <v>1184</v>
      </c>
      <c r="P16" s="3017"/>
      <c r="Q16" s="3017"/>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561"/>
      <c r="B17" s="1600" t="s">
        <v>2521</v>
      </c>
      <c r="C17" s="2146">
        <f>SUMPRODUCT((修正!A2:A5=E2)*(修正!B1:M1=G2)*(修正!B2:M5))</f>
        <v>3.5</v>
      </c>
      <c r="D17" s="2140" t="str">
        <f>IF(OR(G2="八级",G2="九级",G2="十级",G2="十一级",G2="十二级"),"五通一平","七通一平")</f>
        <v>七通一平</v>
      </c>
      <c r="E17" s="2147">
        <f>SUMPRODUCT((修正!B1:M1=G2)*(修正!B15:M15))</f>
        <v>375</v>
      </c>
      <c r="F17" s="2148" t="s">
        <v>2998</v>
      </c>
      <c r="G17" s="1589">
        <f>SUM(H17:O17)</f>
        <v>265</v>
      </c>
      <c r="H17" s="2146">
        <f>SUMPRODUCT((七通一平=H16)*(修正!B1:M1=G2)*(修正!B6:M14))</f>
        <v>80</v>
      </c>
      <c r="I17" s="2146">
        <f>SUMPRODUCT((七通一平=I16)*(修正!B1:M1=G2)*(修正!B6:M14))</f>
        <v>20</v>
      </c>
      <c r="J17" s="2149">
        <f>SUMPRODUCT((七通一平=J16)*(修正!B1:M1=G2)*(修正!B6:M14))</f>
        <v>70</v>
      </c>
      <c r="K17" s="2146">
        <f>SUMPRODUCT((七通一平=K16)*(修正!B1:M1=G2)*(修正!B6:M14))</f>
        <v>30</v>
      </c>
      <c r="L17" s="2146">
        <f>SUMPRODUCT((七通一平=L16)*(修正!B1:M1=G2)*(修正!B6:M14))</f>
        <v>45</v>
      </c>
      <c r="M17" s="2146">
        <f>SUMPRODUCT((七通一平=M16)*(修正!B1:M1=G2)*(修正!B6:M14))</f>
        <v>20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2524</v>
      </c>
      <c r="B18" s="1598" t="s">
        <v>2525</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2526</v>
      </c>
      <c r="B19" s="1581" t="s">
        <v>2527</v>
      </c>
      <c r="C19" s="2157">
        <f>ROUND(IF(H19="按公示增长率计算",SUMPRODUCT((地价!A3:A37=YEAR(G19)&amp;"-"&amp;ROUNDUP(MONTH(G19)/3,0))*(地价!X2:AB2=E2)*(地价!X3:AB37)),IF(H19="地价指数",M20/M19,(1+I19)^O19)),4)</f>
        <v>1.3676999999999999</v>
      </c>
      <c r="D19" s="2158" t="s">
        <v>2528</v>
      </c>
      <c r="E19" s="2159">
        <v>41640</v>
      </c>
      <c r="F19" s="2158" t="s">
        <v>2529</v>
      </c>
      <c r="G19" s="2160">
        <f>'数据-取费表'!B2</f>
        <v>44636</v>
      </c>
      <c r="H19" s="2161" t="s">
        <v>2663</v>
      </c>
      <c r="I19" s="2162" t="str">
        <f>IF(H19="季度增幅（自定义）",SUMIF(N21:N24,E2,O21:O24),"")</f>
        <v/>
      </c>
      <c r="J19" s="2163"/>
      <c r="K19" s="3019"/>
      <c r="L19" s="2044" t="s">
        <v>2530</v>
      </c>
      <c r="M19" s="2164">
        <f>ROUND(SUMIF(地价!B2:F2,E2,地价!B37:F37),0)</f>
        <v>258</v>
      </c>
      <c r="N19" s="2165" t="s">
        <v>2531</v>
      </c>
      <c r="O19" s="2166">
        <f>ROUNDDOWN(DATEDIF(E19,G19,"M")/3,0)</f>
        <v>32</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2532</v>
      </c>
      <c r="B20" s="1582" t="s">
        <v>2533</v>
      </c>
      <c r="C20" s="2169">
        <f>ROUND(POWER(1+G20,J20-I20)*(POWER(1+G20,I20)-1)/(POWER(1+G20,J20)-1),4)</f>
        <v>0.88219999999999998</v>
      </c>
      <c r="D20" s="2170" t="s">
        <v>2534</v>
      </c>
      <c r="E20" s="3122">
        <f>存贷款利率!E20/100</f>
        <v>4.3499999999999997E-2</v>
      </c>
      <c r="F20" s="2170" t="s">
        <v>2523</v>
      </c>
      <c r="G20" s="3123">
        <f>SUMIF(M26:P26,E2,M28:P28)</f>
        <v>5.1999999999999998E-2</v>
      </c>
      <c r="H20" s="2170" t="s">
        <v>2535</v>
      </c>
      <c r="I20" s="2171">
        <f>'数据-取费表'!B13</f>
        <v>33</v>
      </c>
      <c r="J20" s="2172">
        <f>IF(E2="住宅",70,IF(E2="商业",40,50))</f>
        <v>50</v>
      </c>
      <c r="K20" s="3019"/>
      <c r="L20" s="2173" t="s">
        <v>2536</v>
      </c>
      <c r="M20" s="2174">
        <f>ROUND(SUMPRODUCT((地价!A4:A37=YEAR(G19)&amp;"-"&amp;ROUNDUP(MONTH(G19)/3,0))*(地价!B2:F2=E2)*(地价!B4:F37)),0)</f>
        <v>353</v>
      </c>
      <c r="N20" s="2175" t="s">
        <v>2537</v>
      </c>
      <c r="O20" s="2176" t="s">
        <v>2538</v>
      </c>
      <c r="P20" s="2177" t="s">
        <v>2539</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2540</v>
      </c>
      <c r="B21" s="1583" t="s">
        <v>2541</v>
      </c>
      <c r="C21" s="2179">
        <f>IF(B21="容积率修正",IF(G3&lt;=10,D22,J22),C23)</f>
        <v>1</v>
      </c>
      <c r="D21" s="2180"/>
      <c r="E21" s="2180"/>
      <c r="F21" s="2180"/>
      <c r="G21" s="2180"/>
      <c r="H21" s="2180"/>
      <c r="I21" s="2180"/>
      <c r="J21" s="2045"/>
      <c r="K21" s="3019"/>
      <c r="L21" s="3019"/>
      <c r="M21" s="3019"/>
      <c r="N21" s="2181" t="s">
        <v>2542</v>
      </c>
      <c r="O21" s="2182"/>
      <c r="P21" s="2183">
        <f>SUMPRODUCT((地价!A3:A37=YEAR(G19)&amp;"-"&amp;ROUNDUP(MONTH(G19)/3,0))*(地价!AD2:AH2=N21)*(地价!AD3:AH37))</f>
        <v>1.03E-2</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2543</v>
      </c>
      <c r="C22" s="2040" t="s">
        <v>2544</v>
      </c>
      <c r="D22" s="2040">
        <f>IF(E22=G22,F22,IF(G3&lt;=10,ROUND(F22+(H22-F22)*(G3-E22)/(G22-E22),4),"——"))</f>
        <v>1</v>
      </c>
      <c r="E22" s="2084">
        <f>ROUNDDOWN(G3,1)</f>
        <v>3.5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4">
        <f>ROUNDUP(G3,1)</f>
        <v>3.5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0" t="s">
        <v>104</v>
      </c>
      <c r="J22" s="2184" t="str">
        <f>IF(G3&gt;10,D113,"——")</f>
        <v>——</v>
      </c>
      <c r="K22" s="3019"/>
      <c r="L22" s="3019"/>
      <c r="M22" s="3019"/>
      <c r="N22" s="2181" t="s">
        <v>2545</v>
      </c>
      <c r="O22" s="2182"/>
      <c r="P22" s="2183">
        <f>SUMPRODUCT((地价!A3:A37=YEAR(G19)&amp;"-"&amp;ROUNDUP(MONTH(G19)/3,0))*(地价!AD2:AH2=N22)*(地价!AD3:AH37))</f>
        <v>1.03E-2</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2546</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2547</v>
      </c>
      <c r="O23" s="2182"/>
      <c r="P23" s="2183">
        <f>SUMPRODUCT((地价!A3:A37=YEAR(G19)&amp;"-"&amp;ROUNDUP(MONTH(G19)/3,0))*(地价!AD2:AH2=N23)*(地价!AD3:AH37))</f>
        <v>1.8100000000000002E-2</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2548</v>
      </c>
      <c r="B24" s="1585" t="s">
        <v>2549</v>
      </c>
      <c r="C24" s="2189">
        <f>SUMIF(A46:A88,E2,B46:B88)</f>
        <v>1.052</v>
      </c>
      <c r="D24" s="2190"/>
      <c r="E24" s="2191"/>
      <c r="F24" s="2191"/>
      <c r="G24" s="2191"/>
      <c r="H24" s="2191"/>
      <c r="I24" s="2191"/>
      <c r="J24" s="2192"/>
      <c r="K24" s="3019"/>
      <c r="L24" s="3019"/>
      <c r="M24" s="3019"/>
      <c r="N24" s="2193" t="s">
        <v>2550</v>
      </c>
      <c r="O24" s="2194"/>
      <c r="P24" s="2195">
        <f>SUMPRODUCT((地价!A3:A37=YEAR(G19)&amp;"-"&amp;ROUNDUP(MONTH(G19)/3,0))*(地价!AD2:AH2=N24)*(地价!AD3:AH37))</f>
        <v>1.2E-2</v>
      </c>
      <c r="Q24" s="3019"/>
      <c r="R24" s="3017"/>
      <c r="S24" s="3017"/>
      <c r="T24" s="3017"/>
      <c r="U24" s="3017"/>
      <c r="V24" s="3017"/>
      <c r="W24" s="3017"/>
      <c r="X24" s="1591"/>
      <c r="Y24" s="1591"/>
      <c r="Z24" s="1591"/>
      <c r="AA24" s="1591"/>
      <c r="AB24" s="1591"/>
      <c r="AC24" s="1591"/>
      <c r="AD24" s="1591"/>
      <c r="AE24" s="2156"/>
      <c r="AF24" s="2156"/>
    </row>
    <row r="25" spans="1:35" ht="15" thickBot="1">
      <c r="A25" s="1686" t="s">
        <v>2551</v>
      </c>
      <c r="B25" s="1586" t="s">
        <v>2552</v>
      </c>
      <c r="C25" s="2196"/>
      <c r="D25" s="2102"/>
      <c r="E25" s="2102"/>
      <c r="F25" s="2197"/>
      <c r="G25" s="2102"/>
      <c r="H25" s="2102"/>
      <c r="I25" s="2102"/>
      <c r="J25" s="2103"/>
      <c r="K25" s="3017"/>
      <c r="L25" s="3017"/>
      <c r="M25" s="3017"/>
      <c r="N25" s="3020" t="s">
        <v>2553</v>
      </c>
      <c r="O25" s="3021"/>
      <c r="P25" s="3022">
        <f>SUMPRODUCT((地价!A3:A37=YEAR(G19)&amp;"-"&amp;ROUNDUP(MONTH(G19)/3,0))*(地价!AD2:AH2=N25)*(地价!AD3:AH37))</f>
        <v>1.6400000000000001E-2</v>
      </c>
      <c r="Q25" s="3017"/>
      <c r="R25" s="3017"/>
      <c r="S25" s="3017"/>
      <c r="T25" s="3017"/>
      <c r="U25" s="3017"/>
      <c r="V25" s="3017"/>
      <c r="W25" s="3017"/>
      <c r="X25" s="1591"/>
      <c r="Y25" s="1591"/>
      <c r="Z25" s="1591"/>
      <c r="AA25" s="1591"/>
      <c r="AB25" s="1591"/>
      <c r="AC25" s="1591"/>
      <c r="AD25" s="1591"/>
      <c r="AE25" s="1591"/>
      <c r="AF25" s="1591"/>
    </row>
    <row r="26" spans="1:35" ht="15">
      <c r="A26" s="1671"/>
      <c r="B26" s="2040" t="s">
        <v>2554</v>
      </c>
      <c r="C26" s="2857">
        <f>IF(B21="容积率修正",E29+SUM(E33:E39),SUM(V2:V16)+SUM(E33:E39))</f>
        <v>9795581</v>
      </c>
      <c r="D26" s="2198"/>
      <c r="E26" s="2137"/>
      <c r="F26" s="1446"/>
      <c r="G26" s="2137"/>
      <c r="H26" s="2137"/>
      <c r="I26" s="2137"/>
      <c r="J26" s="2199"/>
      <c r="K26" s="3017"/>
      <c r="L26" s="3023" t="s">
        <v>2513</v>
      </c>
      <c r="M26" s="2100" t="s">
        <v>2514</v>
      </c>
      <c r="N26" s="2100" t="s">
        <v>2515</v>
      </c>
      <c r="O26" s="2100" t="s">
        <v>2516</v>
      </c>
      <c r="P26" s="3024" t="s">
        <v>2517</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2555</v>
      </c>
      <c r="C27" s="2200">
        <f>E30+SUM(I33:I39)</f>
        <v>0</v>
      </c>
      <c r="D27" s="2149"/>
      <c r="E27" s="2201"/>
      <c r="F27" s="2202"/>
      <c r="G27" s="2201"/>
      <c r="H27" s="2201"/>
      <c r="I27" s="2201"/>
      <c r="J27" s="2203"/>
      <c r="K27" s="3017"/>
      <c r="L27" s="2204" t="s">
        <v>2520</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2556</v>
      </c>
      <c r="C28" s="2207" t="s">
        <v>2557</v>
      </c>
      <c r="D28" s="2207" t="s">
        <v>2558</v>
      </c>
      <c r="E28" s="1586" t="s">
        <v>2559</v>
      </c>
      <c r="F28" s="2208"/>
      <c r="G28" s="2124"/>
      <c r="H28" s="2124"/>
      <c r="I28" s="2124"/>
      <c r="J28" s="2125"/>
      <c r="K28" s="3017"/>
      <c r="L28" s="2209" t="s">
        <v>2523</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2560</v>
      </c>
      <c r="C29" s="54">
        <f>ROUND(C5*C18*C19*C20*C21*C24,0)</f>
        <v>37761</v>
      </c>
      <c r="D29" s="2212">
        <f>项目基本情况!C12</f>
        <v>259.41000000000003</v>
      </c>
      <c r="E29" s="1999">
        <f>ROUND(C29*D29,0)</f>
        <v>9795581</v>
      </c>
      <c r="F29" s="2213" t="s">
        <v>2561</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2562</v>
      </c>
      <c r="C30" s="2140">
        <f>ROUND(IF(E2="工业",C29*M39,C29*M38),0)</f>
        <v>9440</v>
      </c>
      <c r="D30" s="2217"/>
      <c r="E30" s="1999">
        <f>ROUND(C30*D30,0)</f>
        <v>0</v>
      </c>
      <c r="F30" s="2218" t="s">
        <v>2563</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2564</v>
      </c>
      <c r="C31" s="2222" t="s">
        <v>2565</v>
      </c>
      <c r="D31" s="2124"/>
      <c r="E31" s="2222"/>
      <c r="F31" s="2222"/>
      <c r="G31" s="2123" t="s">
        <v>2566</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2557</v>
      </c>
      <c r="D32" s="1776" t="s">
        <v>2558</v>
      </c>
      <c r="E32" s="1776" t="s">
        <v>2559</v>
      </c>
      <c r="F32" s="50" t="s">
        <v>2567</v>
      </c>
      <c r="G32" s="2185" t="s">
        <v>2557</v>
      </c>
      <c r="H32" s="2185" t="s">
        <v>2558</v>
      </c>
      <c r="I32" s="2185" t="s">
        <v>2559</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570" t="s">
        <v>2568</v>
      </c>
      <c r="B33" s="2225" t="s">
        <v>2569</v>
      </c>
      <c r="C33" s="54">
        <f>ROUND(D5*C19*C20*C24*F33,0)</f>
        <v>30209</v>
      </c>
      <c r="D33" s="2212"/>
      <c r="E33" s="50">
        <f t="shared" ref="E33:E39" si="7">ROUND(C33*D33,0)</f>
        <v>0</v>
      </c>
      <c r="F33" s="50">
        <f>SUMIF(修正!A45:A56,G2,修正!B45:B56)</f>
        <v>0.8</v>
      </c>
      <c r="G33" s="50">
        <f t="shared" ref="G33" si="8">ROUND(IF(E2="工业",C33*$M$39,C33*$M$38),0)</f>
        <v>7552</v>
      </c>
      <c r="H33" s="50">
        <f>D33</f>
        <v>0</v>
      </c>
      <c r="I33" s="50">
        <f t="shared" ref="I33:I39" si="9">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571"/>
      <c r="B34" s="2130" t="s">
        <v>2570</v>
      </c>
      <c r="C34" s="54">
        <f>ROUND(D5*C19*C20*C24*F34,0)</f>
        <v>18881</v>
      </c>
      <c r="D34" s="2212"/>
      <c r="E34" s="50">
        <f t="shared" si="7"/>
        <v>0</v>
      </c>
      <c r="F34" s="50">
        <f>SUMIF(修正!A45:A56,G2,修正!C45:C56)</f>
        <v>0.5</v>
      </c>
      <c r="G34" s="50">
        <f>ROUND(IF(E2="工业",C34*$M$39,C34*$M$38),0)</f>
        <v>4720</v>
      </c>
      <c r="H34" s="50">
        <f t="shared" ref="H34:H39" si="10">D34</f>
        <v>0</v>
      </c>
      <c r="I34" s="50">
        <f t="shared" si="9"/>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571"/>
      <c r="B35" s="2130" t="s">
        <v>2571</v>
      </c>
      <c r="C35" s="54">
        <f>ROUND(D5*C19*C20*C24*F35,0)</f>
        <v>13594</v>
      </c>
      <c r="D35" s="2212"/>
      <c r="E35" s="50">
        <f t="shared" si="7"/>
        <v>0</v>
      </c>
      <c r="F35" s="50">
        <f>SUMIF(修正!A45:A56,G2,修正!D45:D56)</f>
        <v>0.36</v>
      </c>
      <c r="G35" s="50">
        <f>ROUND(IF(E2="工业",C35*$M$39,C35*$M$38),0)</f>
        <v>3399</v>
      </c>
      <c r="H35" s="50">
        <f t="shared" si="10"/>
        <v>0</v>
      </c>
      <c r="I35" s="50">
        <f t="shared" si="9"/>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572"/>
      <c r="B36" s="2130" t="s">
        <v>2572</v>
      </c>
      <c r="C36" s="54">
        <f>ROUND(D5*C19*C20*C24*F36,0)</f>
        <v>11328</v>
      </c>
      <c r="D36" s="2212"/>
      <c r="E36" s="50">
        <f t="shared" si="7"/>
        <v>0</v>
      </c>
      <c r="F36" s="50">
        <f>SUMIF(修正!A45:A56,G2,修正!E45:E56)</f>
        <v>0.3</v>
      </c>
      <c r="G36" s="50">
        <f>ROUND(IF(E2="工业",C36*$M$39,C36*$M$38),0)</f>
        <v>2832</v>
      </c>
      <c r="H36" s="50">
        <f t="shared" si="10"/>
        <v>0</v>
      </c>
      <c r="I36" s="50">
        <f t="shared" si="9"/>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2573</v>
      </c>
      <c r="C37" s="50">
        <f>ROUND(D5*C19*C20*C24*F37,0)</f>
        <v>11328</v>
      </c>
      <c r="D37" s="2212"/>
      <c r="E37" s="50">
        <f t="shared" si="7"/>
        <v>0</v>
      </c>
      <c r="F37" s="54">
        <f>SUMIF(修正!A45:A56,G2,修正!F45:F56)</f>
        <v>0.3</v>
      </c>
      <c r="G37" s="50">
        <f>ROUND(IF(E2="工业",C37*$M$39,C37*$M$38),0)</f>
        <v>2832</v>
      </c>
      <c r="H37" s="50">
        <f t="shared" si="10"/>
        <v>0</v>
      </c>
      <c r="I37" s="50">
        <f t="shared" si="9"/>
        <v>0</v>
      </c>
      <c r="J37" s="2199"/>
      <c r="K37" s="3017"/>
      <c r="L37" s="2227" t="s">
        <v>2574</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2575</v>
      </c>
      <c r="C38" s="50">
        <f>ROUND(D5*C19*C41*C24*F38,0)</f>
        <v>0</v>
      </c>
      <c r="D38" s="2212"/>
      <c r="E38" s="50">
        <f t="shared" si="7"/>
        <v>0</v>
      </c>
      <c r="F38" s="54">
        <f>SUMIF(修正!A45:A56,G2,修正!G45:G56)</f>
        <v>0.3</v>
      </c>
      <c r="G38" s="50">
        <f>ROUND(IF(E2="工业",C38*$M$39,C38*$M$38),0)</f>
        <v>0</v>
      </c>
      <c r="H38" s="50">
        <f t="shared" si="10"/>
        <v>0</v>
      </c>
      <c r="I38" s="50">
        <f t="shared" si="9"/>
        <v>0</v>
      </c>
      <c r="J38" s="2199"/>
      <c r="K38" s="3017"/>
      <c r="L38" s="2228" t="s">
        <v>2576</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2577</v>
      </c>
      <c r="C39" s="2140">
        <f>ROUND(D5*C19*C41*C24*F39,0)</f>
        <v>0</v>
      </c>
      <c r="D39" s="2217"/>
      <c r="E39" s="2140">
        <f t="shared" si="7"/>
        <v>0</v>
      </c>
      <c r="F39" s="56">
        <f>SUMIF(修正!A45:A56,G2,修正!H45:H56)</f>
        <v>0.25</v>
      </c>
      <c r="G39" s="2140">
        <f>ROUND(IF(E2="工业",C39*$M$39,C39*$M$38),0)</f>
        <v>0</v>
      </c>
      <c r="H39" s="2140">
        <f t="shared" si="10"/>
        <v>0</v>
      </c>
      <c r="I39" s="2140">
        <f t="shared" si="9"/>
        <v>0</v>
      </c>
      <c r="J39" s="2203"/>
      <c r="K39" s="3017"/>
      <c r="L39" s="2231" t="s">
        <v>2517</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2656</v>
      </c>
      <c r="C41" s="50">
        <f>ROUND(POWER(1+E41,H41-G41)*(POWER(1+E41,G41)-1)/(POWER(1+E41,H41)-1),4)</f>
        <v>0</v>
      </c>
      <c r="D41" s="50" t="s">
        <v>2654</v>
      </c>
      <c r="E41" s="2235">
        <f>G20</f>
        <v>5.1999999999999998E-2</v>
      </c>
      <c r="F41" s="50" t="s">
        <v>2655</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2578</v>
      </c>
      <c r="B45" s="2238"/>
      <c r="C45" s="608"/>
      <c r="D45" s="608"/>
      <c r="E45" s="608"/>
      <c r="F45" s="608"/>
      <c r="G45" s="608"/>
      <c r="H45" s="608"/>
      <c r="I45" s="608"/>
      <c r="J45" s="608"/>
      <c r="K45" s="608"/>
      <c r="L45" s="608"/>
      <c r="M45" s="608"/>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2579</v>
      </c>
      <c r="B46" s="2240">
        <f>1+E48</f>
        <v>1</v>
      </c>
      <c r="C46" s="2241"/>
      <c r="D46" s="2242"/>
      <c r="E46" s="2243"/>
      <c r="F46" s="2244"/>
      <c r="G46" s="608"/>
      <c r="H46" s="608"/>
      <c r="I46" s="608"/>
      <c r="J46" s="608"/>
      <c r="K46" s="608"/>
      <c r="L46" s="608"/>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2580</v>
      </c>
      <c r="B47" s="2247" t="s">
        <v>2581</v>
      </c>
      <c r="C47" s="2247" t="s">
        <v>2582</v>
      </c>
      <c r="D47" s="2247" t="s">
        <v>2583</v>
      </c>
      <c r="E47" s="2248" t="s">
        <v>2584</v>
      </c>
      <c r="F47" s="2198" t="s">
        <v>2585</v>
      </c>
      <c r="G47" s="2247" t="s">
        <v>2586</v>
      </c>
      <c r="H47" s="2249" t="s">
        <v>2587</v>
      </c>
      <c r="I47" s="2247" t="s">
        <v>2588</v>
      </c>
      <c r="J47" s="1874" t="s">
        <v>2589</v>
      </c>
      <c r="K47" s="1874" t="s">
        <v>2590</v>
      </c>
      <c r="L47" s="1874" t="s">
        <v>2591</v>
      </c>
      <c r="M47" s="1874" t="s">
        <v>2592</v>
      </c>
      <c r="N47" s="1874" t="s">
        <v>2593</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2594</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2595</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2596</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2597</v>
      </c>
      <c r="B51" s="2260" t="s">
        <v>2598</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2599</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2600</v>
      </c>
      <c r="B53" s="2261" t="s">
        <v>2601</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2602</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2603</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2604</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2605</v>
      </c>
      <c r="B57" s="2268">
        <f>1+E59</f>
        <v>1.052</v>
      </c>
      <c r="C57" s="2242"/>
      <c r="D57" s="2242"/>
      <c r="E57" s="2243"/>
      <c r="F57" s="2244"/>
      <c r="G57" s="608"/>
      <c r="H57" s="608"/>
      <c r="I57" s="608"/>
      <c r="J57" s="608"/>
      <c r="K57" s="608"/>
      <c r="L57" s="608"/>
      <c r="M57" s="608"/>
      <c r="N57" s="608"/>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2580</v>
      </c>
      <c r="B58" s="2258"/>
      <c r="C58" s="2247" t="s">
        <v>2582</v>
      </c>
      <c r="D58" s="2247" t="s">
        <v>2583</v>
      </c>
      <c r="E58" s="2248" t="s">
        <v>2584</v>
      </c>
      <c r="F58" s="2198" t="s">
        <v>2585</v>
      </c>
      <c r="G58" s="2247" t="s">
        <v>2606</v>
      </c>
      <c r="H58" s="2249" t="s">
        <v>2607</v>
      </c>
      <c r="I58" s="2247" t="s">
        <v>2608</v>
      </c>
      <c r="J58" s="1874" t="s">
        <v>2248</v>
      </c>
      <c r="K58" s="1874" t="s">
        <v>2249</v>
      </c>
      <c r="L58" s="1874" t="s">
        <v>2250</v>
      </c>
      <c r="M58" s="1874" t="s">
        <v>2251</v>
      </c>
      <c r="N58" s="1874" t="s">
        <v>2252</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2609</v>
      </c>
      <c r="B59" s="2250" t="str">
        <f>估价对象房地状况!C17</f>
        <v>估价对象位于XX商圈，周边办公楼项目较多，入驻率高，办公集聚程度较好</v>
      </c>
      <c r="C59" s="2134" t="s">
        <v>30</v>
      </c>
      <c r="D59" s="2251">
        <f t="shared" ref="D59:D67" si="16">SUMIF($J$58:$N$58,C59,J59:N59)</f>
        <v>1.17E-2</v>
      </c>
      <c r="E59" s="2252">
        <f>ROUND(SUM(D59:D67),4)</f>
        <v>5.1999999999999998E-2</v>
      </c>
      <c r="F59" s="2253">
        <f>IF(E2="办公",SUMIF(L1:L12,G2,N1:N12),"——")</f>
        <v>9.8000000000000004E-2</v>
      </c>
      <c r="G59" s="2254">
        <f>H59</f>
        <v>1.17E-2</v>
      </c>
      <c r="H59" s="2255">
        <f t="shared" ref="H59:H67" si="17">IFERROR(ROUNDDOWN($F$59*I59/2,4),"——")</f>
        <v>1.17E-2</v>
      </c>
      <c r="I59" s="2256">
        <v>0.24</v>
      </c>
      <c r="J59" s="2257">
        <f t="shared" ref="J59:J67" si="18">K59+$G59</f>
        <v>2.3400000000000001E-2</v>
      </c>
      <c r="K59" s="2257">
        <f t="shared" ref="K59:K67" si="19">$L59+$G59</f>
        <v>1.17E-2</v>
      </c>
      <c r="L59" s="2257">
        <v>0</v>
      </c>
      <c r="M59" s="2257">
        <f t="shared" ref="M59:N67" si="20">L59-$G59</f>
        <v>-1.17E-2</v>
      </c>
      <c r="N59" s="2257">
        <f t="shared" si="20"/>
        <v>-2.3400000000000001E-2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2595</v>
      </c>
      <c r="B60" s="2258" t="str">
        <f>估价对象房地状况!C18</f>
        <v>估价对象周边道路状况、公共交通通达情况、停车便捷程度，综合评价交通便捷度较好</v>
      </c>
      <c r="C60" s="2134" t="s">
        <v>30</v>
      </c>
      <c r="D60" s="2251">
        <f t="shared" si="16"/>
        <v>1.47E-2</v>
      </c>
      <c r="E60" s="2259"/>
      <c r="F60" s="2253"/>
      <c r="G60" s="2254">
        <f t="shared" ref="G60:G67" si="21">H60</f>
        <v>1.47E-2</v>
      </c>
      <c r="H60" s="2255">
        <f t="shared" si="17"/>
        <v>1.47E-2</v>
      </c>
      <c r="I60" s="2256">
        <v>0.3</v>
      </c>
      <c r="J60" s="2257">
        <f t="shared" si="18"/>
        <v>2.9399999999999999E-2</v>
      </c>
      <c r="K60" s="2257">
        <f t="shared" si="19"/>
        <v>1.47E-2</v>
      </c>
      <c r="L60" s="2257">
        <v>0</v>
      </c>
      <c r="M60" s="2257">
        <f t="shared" si="20"/>
        <v>-1.47E-2</v>
      </c>
      <c r="N60" s="2257">
        <f t="shared" si="20"/>
        <v>-2.9399999999999999E-2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2596</v>
      </c>
      <c r="B61" s="2258">
        <f>估价对象房地状况!C19</f>
        <v>0</v>
      </c>
      <c r="C61" s="2134" t="s">
        <v>30</v>
      </c>
      <c r="D61" s="2251">
        <f t="shared" si="16"/>
        <v>3.8999999999999998E-3</v>
      </c>
      <c r="E61" s="2259"/>
      <c r="F61" s="2253"/>
      <c r="G61" s="2254">
        <f t="shared" si="21"/>
        <v>3.8999999999999998E-3</v>
      </c>
      <c r="H61" s="2255">
        <f t="shared" si="17"/>
        <v>3.8999999999999998E-3</v>
      </c>
      <c r="I61" s="2256">
        <v>0.08</v>
      </c>
      <c r="J61" s="2257">
        <f t="shared" si="18"/>
        <v>7.7999999999999996E-3</v>
      </c>
      <c r="K61" s="2257">
        <f t="shared" si="19"/>
        <v>3.8999999999999998E-3</v>
      </c>
      <c r="L61" s="2257">
        <v>0</v>
      </c>
      <c r="M61" s="2257">
        <f t="shared" si="20"/>
        <v>-3.8999999999999998E-3</v>
      </c>
      <c r="N61" s="2257">
        <f t="shared" si="20"/>
        <v>-7.7999999999999996E-3</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2597</v>
      </c>
      <c r="B62" s="2260" t="s">
        <v>2598</v>
      </c>
      <c r="C62" s="2134" t="s">
        <v>30</v>
      </c>
      <c r="D62" s="2251">
        <f t="shared" si="16"/>
        <v>1.9E-3</v>
      </c>
      <c r="E62" s="2259"/>
      <c r="F62" s="2253"/>
      <c r="G62" s="2254">
        <f t="shared" si="21"/>
        <v>1.9E-3</v>
      </c>
      <c r="H62" s="2255">
        <f t="shared" si="17"/>
        <v>1.9E-3</v>
      </c>
      <c r="I62" s="2256">
        <v>0.04</v>
      </c>
      <c r="J62" s="2257">
        <f t="shared" si="18"/>
        <v>3.8E-3</v>
      </c>
      <c r="K62" s="2257">
        <f t="shared" si="19"/>
        <v>1.9E-3</v>
      </c>
      <c r="L62" s="2257">
        <v>0</v>
      </c>
      <c r="M62" s="2257">
        <f t="shared" si="20"/>
        <v>-1.9E-3</v>
      </c>
      <c r="N62" s="2257">
        <f t="shared" si="20"/>
        <v>-3.8E-3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2599</v>
      </c>
      <c r="B63" s="2258">
        <f>估价对象房地状况!C24</f>
        <v>0</v>
      </c>
      <c r="C63" s="2134" t="s">
        <v>31</v>
      </c>
      <c r="D63" s="2251">
        <f t="shared" si="16"/>
        <v>0</v>
      </c>
      <c r="E63" s="2259"/>
      <c r="F63" s="2253"/>
      <c r="G63" s="2254">
        <f t="shared" si="21"/>
        <v>2.3999999999999998E-3</v>
      </c>
      <c r="H63" s="2255">
        <f t="shared" si="17"/>
        <v>2.3999999999999998E-3</v>
      </c>
      <c r="I63" s="2256">
        <v>0.05</v>
      </c>
      <c r="J63" s="2257">
        <f t="shared" si="18"/>
        <v>4.7999999999999996E-3</v>
      </c>
      <c r="K63" s="2257">
        <f t="shared" si="19"/>
        <v>2.3999999999999998E-3</v>
      </c>
      <c r="L63" s="2257">
        <v>0</v>
      </c>
      <c r="M63" s="2257">
        <f t="shared" si="20"/>
        <v>-2.3999999999999998E-3</v>
      </c>
      <c r="N63" s="2257">
        <f t="shared" si="20"/>
        <v>-4.7999999999999996E-3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2600</v>
      </c>
      <c r="B64" s="2261" t="s">
        <v>2601</v>
      </c>
      <c r="C64" s="2134" t="s">
        <v>30</v>
      </c>
      <c r="D64" s="2251">
        <f t="shared" si="16"/>
        <v>2.3999999999999998E-3</v>
      </c>
      <c r="E64" s="2259"/>
      <c r="F64" s="2253"/>
      <c r="G64" s="2254">
        <f t="shared" si="21"/>
        <v>2.3999999999999998E-3</v>
      </c>
      <c r="H64" s="2255">
        <f t="shared" si="17"/>
        <v>2.3999999999999998E-3</v>
      </c>
      <c r="I64" s="2256">
        <v>0.05</v>
      </c>
      <c r="J64" s="2257">
        <f t="shared" si="18"/>
        <v>4.7999999999999996E-3</v>
      </c>
      <c r="K64" s="2257">
        <f t="shared" si="19"/>
        <v>2.3999999999999998E-3</v>
      </c>
      <c r="L64" s="2257">
        <v>0</v>
      </c>
      <c r="M64" s="2257">
        <f t="shared" si="20"/>
        <v>-2.3999999999999998E-3</v>
      </c>
      <c r="N64" s="2257">
        <f t="shared" si="20"/>
        <v>-4.7999999999999996E-3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2602</v>
      </c>
      <c r="B65" s="2263" t="str">
        <f>估价对象房地状况!C21</f>
        <v>估价对象所在区域公共配套设施齐备情况</v>
      </c>
      <c r="C65" s="2134" t="s">
        <v>30</v>
      </c>
      <c r="D65" s="2251">
        <f t="shared" si="16"/>
        <v>2.8999999999999998E-3</v>
      </c>
      <c r="E65" s="2259"/>
      <c r="F65" s="2253"/>
      <c r="G65" s="2254">
        <f t="shared" si="21"/>
        <v>2.8999999999999998E-3</v>
      </c>
      <c r="H65" s="2255">
        <f t="shared" si="17"/>
        <v>2.8999999999999998E-3</v>
      </c>
      <c r="I65" s="2256">
        <v>0.06</v>
      </c>
      <c r="J65" s="2257">
        <f t="shared" si="18"/>
        <v>5.7999999999999996E-3</v>
      </c>
      <c r="K65" s="2257">
        <f t="shared" si="19"/>
        <v>2.8999999999999998E-3</v>
      </c>
      <c r="L65" s="2257">
        <v>0</v>
      </c>
      <c r="M65" s="2257">
        <f t="shared" si="20"/>
        <v>-2.8999999999999998E-3</v>
      </c>
      <c r="N65" s="2257">
        <f t="shared" si="20"/>
        <v>-5.7999999999999996E-3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2603</v>
      </c>
      <c r="B66" s="2263" t="str">
        <f>估价对象房地状况!C22</f>
        <v>估价对象所在区域基础设施水平</v>
      </c>
      <c r="C66" s="2134" t="s">
        <v>29</v>
      </c>
      <c r="D66" s="2251">
        <f t="shared" si="16"/>
        <v>1.1599999999999999E-2</v>
      </c>
      <c r="E66" s="2259"/>
      <c r="F66" s="2253"/>
      <c r="G66" s="2254">
        <f t="shared" si="21"/>
        <v>5.7999999999999996E-3</v>
      </c>
      <c r="H66" s="2255">
        <f t="shared" si="17"/>
        <v>5.7999999999999996E-3</v>
      </c>
      <c r="I66" s="2256">
        <v>0.12</v>
      </c>
      <c r="J66" s="2257">
        <f t="shared" si="18"/>
        <v>1.1599999999999999E-2</v>
      </c>
      <c r="K66" s="2257">
        <f t="shared" si="19"/>
        <v>5.7999999999999996E-3</v>
      </c>
      <c r="L66" s="2257">
        <v>0</v>
      </c>
      <c r="M66" s="2257">
        <f t="shared" si="20"/>
        <v>-5.7999999999999996E-3</v>
      </c>
      <c r="N66" s="2257">
        <f t="shared" si="20"/>
        <v>-1.1599999999999999E-2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2604</v>
      </c>
      <c r="B67" s="2269" t="str">
        <f>估价对象房地状况!C20</f>
        <v>区域自然环境：；人文环境；综合评价环境状况一般</v>
      </c>
      <c r="C67" s="2134" t="s">
        <v>30</v>
      </c>
      <c r="D67" s="2251">
        <f t="shared" si="16"/>
        <v>2.8999999999999998E-3</v>
      </c>
      <c r="E67" s="2266"/>
      <c r="F67" s="2253"/>
      <c r="G67" s="2254">
        <f t="shared" si="21"/>
        <v>2.8999999999999998E-3</v>
      </c>
      <c r="H67" s="2255">
        <f t="shared" si="17"/>
        <v>2.8999999999999998E-3</v>
      </c>
      <c r="I67" s="2267">
        <v>0.06</v>
      </c>
      <c r="J67" s="2257">
        <f t="shared" si="18"/>
        <v>5.7999999999999996E-3</v>
      </c>
      <c r="K67" s="2257">
        <f t="shared" si="19"/>
        <v>2.8999999999999998E-3</v>
      </c>
      <c r="L67" s="2257">
        <v>0</v>
      </c>
      <c r="M67" s="2257">
        <f t="shared" si="20"/>
        <v>-2.8999999999999998E-3</v>
      </c>
      <c r="N67" s="2257">
        <f t="shared" si="20"/>
        <v>-5.7999999999999996E-3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2610</v>
      </c>
      <c r="B68" s="2268">
        <f>1+E70</f>
        <v>1</v>
      </c>
      <c r="C68" s="2242"/>
      <c r="D68" s="2242"/>
      <c r="E68" s="2243"/>
      <c r="F68" s="2244"/>
      <c r="G68" s="608"/>
      <c r="H68" s="608"/>
      <c r="I68" s="608"/>
      <c r="J68" s="608"/>
      <c r="K68" s="608"/>
      <c r="L68" s="608"/>
      <c r="M68" s="608"/>
      <c r="N68" s="608"/>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2580</v>
      </c>
      <c r="B69" s="2258"/>
      <c r="C69" s="2247" t="s">
        <v>2582</v>
      </c>
      <c r="D69" s="2247" t="s">
        <v>2583</v>
      </c>
      <c r="E69" s="2248" t="s">
        <v>2584</v>
      </c>
      <c r="F69" s="2198" t="s">
        <v>2585</v>
      </c>
      <c r="G69" s="2247" t="s">
        <v>2606</v>
      </c>
      <c r="H69" s="2249" t="s">
        <v>2607</v>
      </c>
      <c r="I69" s="2247" t="s">
        <v>2608</v>
      </c>
      <c r="J69" s="1874" t="s">
        <v>2248</v>
      </c>
      <c r="K69" s="1874" t="s">
        <v>2249</v>
      </c>
      <c r="L69" s="1874" t="s">
        <v>2250</v>
      </c>
      <c r="M69" s="1874" t="s">
        <v>2251</v>
      </c>
      <c r="N69" s="1874" t="s">
        <v>2252</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2611</v>
      </c>
      <c r="B70" s="2250" t="str">
        <f>估价对象房地状况!C15</f>
        <v>估价对象周边居住用地比例、居住小区规模和社区发展完善程度，综合评价居住社区成熟度一般</v>
      </c>
      <c r="C70" s="2134"/>
      <c r="D70" s="2251">
        <f t="shared" ref="D70:D78" si="22">SUMIF($J$69:$N$69,C70,J70:N70)</f>
        <v>0</v>
      </c>
      <c r="E70" s="2252">
        <f>ROUND(SUM(D70:D78),4)</f>
        <v>0</v>
      </c>
      <c r="F70" s="2253" t="str">
        <f>IF(E2="住宅",SUMIF(L1:L12,G2,N1:N12),"——")</f>
        <v>——</v>
      </c>
      <c r="G70" s="2254"/>
      <c r="H70" s="2255" t="str">
        <f t="shared" ref="H70:H78" si="23">IFERROR(ROUNDDOWN($F$70*I70/2,4),"——")</f>
        <v>——</v>
      </c>
      <c r="I70" s="2256">
        <v>0.14000000000000001</v>
      </c>
      <c r="J70" s="2257">
        <f t="shared" ref="J70:J78" si="24">K70+$G70</f>
        <v>0</v>
      </c>
      <c r="K70" s="2257">
        <f t="shared" ref="K70:K78" si="25">$L70+$G70</f>
        <v>0</v>
      </c>
      <c r="L70" s="2257">
        <v>0</v>
      </c>
      <c r="M70" s="2257">
        <f t="shared" ref="M70:N78" si="26">L70-$G70</f>
        <v>0</v>
      </c>
      <c r="N70" s="2257">
        <f t="shared" si="26"/>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2595</v>
      </c>
      <c r="B71" s="2258" t="str">
        <f>估价对象房地状况!C18</f>
        <v>估价对象周边道路状况、公共交通通达情况、停车便捷程度，综合评价交通便捷度较好</v>
      </c>
      <c r="C71" s="2134"/>
      <c r="D71" s="2251">
        <f t="shared" si="22"/>
        <v>0</v>
      </c>
      <c r="E71" s="2259"/>
      <c r="F71" s="2253"/>
      <c r="G71" s="2254"/>
      <c r="H71" s="2255" t="str">
        <f t="shared" si="23"/>
        <v>——</v>
      </c>
      <c r="I71" s="2256">
        <v>0.3</v>
      </c>
      <c r="J71" s="2257">
        <f t="shared" si="24"/>
        <v>0</v>
      </c>
      <c r="K71" s="2257">
        <f t="shared" si="25"/>
        <v>0</v>
      </c>
      <c r="L71" s="2257">
        <v>0</v>
      </c>
      <c r="M71" s="2257">
        <f t="shared" si="26"/>
        <v>0</v>
      </c>
      <c r="N71" s="2257">
        <f t="shared" si="26"/>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2596</v>
      </c>
      <c r="B72" s="2258">
        <f>估价对象房地状况!C19</f>
        <v>0</v>
      </c>
      <c r="C72" s="2134"/>
      <c r="D72" s="2251">
        <f t="shared" si="22"/>
        <v>0</v>
      </c>
      <c r="E72" s="2259"/>
      <c r="F72" s="2253"/>
      <c r="G72" s="2254"/>
      <c r="H72" s="2255" t="str">
        <f t="shared" si="23"/>
        <v>——</v>
      </c>
      <c r="I72" s="2256">
        <v>0.08</v>
      </c>
      <c r="J72" s="2257">
        <f t="shared" si="24"/>
        <v>0</v>
      </c>
      <c r="K72" s="2257">
        <f t="shared" si="25"/>
        <v>0</v>
      </c>
      <c r="L72" s="2257">
        <v>0</v>
      </c>
      <c r="M72" s="2257">
        <f t="shared" si="26"/>
        <v>0</v>
      </c>
      <c r="N72" s="2257">
        <f t="shared" si="26"/>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2612</v>
      </c>
      <c r="B73" s="2258">
        <f>估价对象房地状况!C24</f>
        <v>0</v>
      </c>
      <c r="C73" s="2134"/>
      <c r="D73" s="2251">
        <f t="shared" si="22"/>
        <v>0</v>
      </c>
      <c r="E73" s="2259"/>
      <c r="F73" s="2253"/>
      <c r="G73" s="2254"/>
      <c r="H73" s="2255" t="str">
        <f t="shared" si="23"/>
        <v>——</v>
      </c>
      <c r="I73" s="2256">
        <v>0.04</v>
      </c>
      <c r="J73" s="2257">
        <f t="shared" si="24"/>
        <v>0</v>
      </c>
      <c r="K73" s="2257">
        <f t="shared" si="25"/>
        <v>0</v>
      </c>
      <c r="L73" s="2257">
        <v>0</v>
      </c>
      <c r="M73" s="2257">
        <f t="shared" si="26"/>
        <v>0</v>
      </c>
      <c r="N73" s="2257">
        <f t="shared" si="26"/>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2602</v>
      </c>
      <c r="B74" s="2263" t="str">
        <f>估价对象房地状况!C21</f>
        <v>估价对象所在区域公共配套设施齐备情况</v>
      </c>
      <c r="C74" s="2134"/>
      <c r="D74" s="2251">
        <f t="shared" si="22"/>
        <v>0</v>
      </c>
      <c r="E74" s="2259"/>
      <c r="F74" s="2253"/>
      <c r="G74" s="2254"/>
      <c r="H74" s="2255" t="str">
        <f t="shared" si="23"/>
        <v>——</v>
      </c>
      <c r="I74" s="2256">
        <v>0.08</v>
      </c>
      <c r="J74" s="2257">
        <f t="shared" si="24"/>
        <v>0</v>
      </c>
      <c r="K74" s="2257">
        <f t="shared" si="25"/>
        <v>0</v>
      </c>
      <c r="L74" s="2257">
        <v>0</v>
      </c>
      <c r="M74" s="2257">
        <f t="shared" si="26"/>
        <v>0</v>
      </c>
      <c r="N74" s="2257">
        <f t="shared" si="26"/>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2603</v>
      </c>
      <c r="B75" s="2263" t="str">
        <f>估价对象房地状况!C22</f>
        <v>估价对象所在区域基础设施水平</v>
      </c>
      <c r="C75" s="2134"/>
      <c r="D75" s="2251">
        <f t="shared" si="22"/>
        <v>0</v>
      </c>
      <c r="E75" s="2259"/>
      <c r="F75" s="2253"/>
      <c r="G75" s="2254"/>
      <c r="H75" s="2255" t="str">
        <f t="shared" si="23"/>
        <v>——</v>
      </c>
      <c r="I75" s="2256">
        <v>0.12</v>
      </c>
      <c r="J75" s="2257">
        <f t="shared" si="24"/>
        <v>0</v>
      </c>
      <c r="K75" s="2257">
        <f t="shared" si="25"/>
        <v>0</v>
      </c>
      <c r="L75" s="2257">
        <v>0</v>
      </c>
      <c r="M75" s="2257">
        <f t="shared" si="26"/>
        <v>0</v>
      </c>
      <c r="N75" s="2257">
        <f t="shared" si="26"/>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2600</v>
      </c>
      <c r="B76" s="2261" t="s">
        <v>2601</v>
      </c>
      <c r="C76" s="2134"/>
      <c r="D76" s="2251">
        <f t="shared" si="22"/>
        <v>0</v>
      </c>
      <c r="E76" s="2259"/>
      <c r="F76" s="2253"/>
      <c r="G76" s="2254"/>
      <c r="H76" s="2255" t="str">
        <f t="shared" si="23"/>
        <v>——</v>
      </c>
      <c r="I76" s="2256">
        <v>0.05</v>
      </c>
      <c r="J76" s="2257">
        <f t="shared" si="24"/>
        <v>0</v>
      </c>
      <c r="K76" s="2257">
        <f t="shared" si="25"/>
        <v>0</v>
      </c>
      <c r="L76" s="2257">
        <v>0</v>
      </c>
      <c r="M76" s="2257">
        <f t="shared" si="26"/>
        <v>0</v>
      </c>
      <c r="N76" s="2257">
        <f t="shared" si="26"/>
        <v>0</v>
      </c>
      <c r="Q76" s="3025"/>
      <c r="R76" s="3025"/>
      <c r="S76" s="3025"/>
      <c r="T76" s="3025"/>
      <c r="U76" s="3025"/>
      <c r="V76" s="3025"/>
      <c r="W76" s="3025"/>
      <c r="AA76" s="1592"/>
      <c r="AG76" s="2233"/>
    </row>
    <row r="77" spans="1:33" ht="38.25">
      <c r="A77" s="2246" t="s">
        <v>2604</v>
      </c>
      <c r="B77" s="2250" t="str">
        <f>估价对象房地状况!C20</f>
        <v>区域自然环境：；人文环境；综合评价环境状况一般</v>
      </c>
      <c r="C77" s="2134"/>
      <c r="D77" s="2251">
        <f t="shared" si="22"/>
        <v>0</v>
      </c>
      <c r="E77" s="2259"/>
      <c r="F77" s="2253"/>
      <c r="G77" s="2254"/>
      <c r="H77" s="2255" t="str">
        <f t="shared" si="23"/>
        <v>——</v>
      </c>
      <c r="I77" s="2256">
        <v>0.15</v>
      </c>
      <c r="J77" s="2257">
        <f t="shared" si="24"/>
        <v>0</v>
      </c>
      <c r="K77" s="2257">
        <f t="shared" si="25"/>
        <v>0</v>
      </c>
      <c r="L77" s="2257">
        <v>0</v>
      </c>
      <c r="M77" s="2257">
        <f t="shared" si="26"/>
        <v>0</v>
      </c>
      <c r="N77" s="2257">
        <f t="shared" si="26"/>
        <v>0</v>
      </c>
      <c r="Q77" s="3025"/>
      <c r="R77" s="3025"/>
      <c r="S77" s="3025"/>
      <c r="T77" s="3025"/>
      <c r="U77" s="3025"/>
      <c r="V77" s="3025"/>
      <c r="W77" s="3025"/>
      <c r="AA77" s="1592"/>
      <c r="AG77" s="2233"/>
    </row>
    <row r="78" spans="1:33" ht="24.75" thickBot="1">
      <c r="A78" s="2264" t="s">
        <v>2613</v>
      </c>
      <c r="B78" s="2270"/>
      <c r="C78" s="2134"/>
      <c r="D78" s="2251">
        <f t="shared" si="22"/>
        <v>0</v>
      </c>
      <c r="E78" s="2266"/>
      <c r="F78" s="2253"/>
      <c r="G78" s="2254"/>
      <c r="H78" s="2255" t="str">
        <f t="shared" si="23"/>
        <v>——</v>
      </c>
      <c r="I78" s="2267">
        <v>0.04</v>
      </c>
      <c r="J78" s="2257">
        <f t="shared" si="24"/>
        <v>0</v>
      </c>
      <c r="K78" s="2257">
        <f t="shared" si="25"/>
        <v>0</v>
      </c>
      <c r="L78" s="2257">
        <v>0</v>
      </c>
      <c r="M78" s="2257">
        <f t="shared" si="26"/>
        <v>0</v>
      </c>
      <c r="N78" s="2257">
        <f t="shared" si="26"/>
        <v>0</v>
      </c>
      <c r="Q78" s="3025"/>
      <c r="R78" s="3025"/>
      <c r="S78" s="3025"/>
      <c r="T78" s="3025"/>
      <c r="U78" s="3025"/>
      <c r="V78" s="3025"/>
      <c r="W78" s="3025"/>
      <c r="AA78" s="1592"/>
      <c r="AG78" s="2233"/>
    </row>
    <row r="79" spans="1:33" ht="15">
      <c r="A79" s="2239" t="s">
        <v>2614</v>
      </c>
      <c r="B79" s="2268">
        <f>1+E81</f>
        <v>1</v>
      </c>
      <c r="C79" s="2242"/>
      <c r="D79" s="2242"/>
      <c r="E79" s="2243"/>
      <c r="F79" s="2244"/>
      <c r="G79" s="608"/>
      <c r="H79" s="608"/>
      <c r="I79" s="608"/>
      <c r="J79" s="608"/>
      <c r="K79" s="608"/>
      <c r="L79" s="608"/>
      <c r="M79" s="608"/>
      <c r="N79" s="608"/>
      <c r="Q79" s="3025"/>
      <c r="R79" s="3025"/>
      <c r="S79" s="3025"/>
      <c r="T79" s="3025"/>
      <c r="U79" s="3025"/>
      <c r="V79" s="3025"/>
      <c r="W79" s="3025"/>
      <c r="AA79" s="1592"/>
      <c r="AG79" s="2233"/>
    </row>
    <row r="80" spans="1:33" ht="24.75">
      <c r="A80" s="2246" t="s">
        <v>2580</v>
      </c>
      <c r="B80" s="2258"/>
      <c r="C80" s="2247" t="s">
        <v>2582</v>
      </c>
      <c r="D80" s="2247" t="s">
        <v>2583</v>
      </c>
      <c r="E80" s="2248" t="s">
        <v>2584</v>
      </c>
      <c r="F80" s="2198" t="s">
        <v>2585</v>
      </c>
      <c r="G80" s="2247" t="s">
        <v>2606</v>
      </c>
      <c r="H80" s="2249" t="s">
        <v>2607</v>
      </c>
      <c r="I80" s="2247" t="s">
        <v>2608</v>
      </c>
      <c r="J80" s="1874" t="s">
        <v>2248</v>
      </c>
      <c r="K80" s="1874" t="s">
        <v>2249</v>
      </c>
      <c r="L80" s="1874" t="s">
        <v>2250</v>
      </c>
      <c r="M80" s="1874" t="s">
        <v>2251</v>
      </c>
      <c r="N80" s="1874" t="s">
        <v>2252</v>
      </c>
      <c r="Q80" s="3025"/>
      <c r="R80" s="3025"/>
      <c r="S80" s="3025"/>
      <c r="T80" s="3025"/>
      <c r="U80" s="3025"/>
      <c r="V80" s="3025"/>
      <c r="W80" s="3025"/>
      <c r="AA80" s="1592"/>
      <c r="AG80" s="2233"/>
    </row>
    <row r="81" spans="1:33" ht="38.25">
      <c r="A81" s="2246" t="s">
        <v>2615</v>
      </c>
      <c r="B81" s="2258" t="str">
        <f>估价对象房地状况!G15</f>
        <v>估价对象位于XX开发区，园区建设成熟度XX，产业集聚程度XX</v>
      </c>
      <c r="C81" s="2134"/>
      <c r="D81" s="2251">
        <f t="shared" ref="D81:D88" si="27">SUMIF($J$80:$N$80,C81,J81:N81)</f>
        <v>0</v>
      </c>
      <c r="E81" s="2252">
        <f>ROUND(SUM(D81:D88),4)</f>
        <v>0</v>
      </c>
      <c r="F81" s="2253" t="str">
        <f>IF(E2="工业",SUMIF(L1:L12,G2,N1:N12),"——")</f>
        <v>——</v>
      </c>
      <c r="G81" s="2254"/>
      <c r="H81" s="2255" t="str">
        <f t="shared" ref="H81:H88" si="28">IFERROR(ROUNDDOWN($F$81*I81/2,4),"——")</f>
        <v>——</v>
      </c>
      <c r="I81" s="2256">
        <v>0.26</v>
      </c>
      <c r="J81" s="2257">
        <f t="shared" ref="J81:J88" si="29">K81+$G81</f>
        <v>0</v>
      </c>
      <c r="K81" s="2257">
        <f t="shared" ref="K81:K88" si="30">$L81+$G81</f>
        <v>0</v>
      </c>
      <c r="L81" s="2257">
        <v>0</v>
      </c>
      <c r="M81" s="2257">
        <f t="shared" ref="M81:N88" si="31">L81-$G81</f>
        <v>0</v>
      </c>
      <c r="N81" s="2257">
        <f t="shared" si="31"/>
        <v>0</v>
      </c>
      <c r="Q81" s="3025"/>
      <c r="R81" s="3025"/>
      <c r="S81" s="3025"/>
      <c r="T81" s="3025"/>
      <c r="U81" s="3025"/>
      <c r="V81" s="3025"/>
      <c r="W81" s="3025"/>
      <c r="AA81" s="1592"/>
      <c r="AG81" s="2233"/>
    </row>
    <row r="82" spans="1:33" ht="51">
      <c r="A82" s="2246" t="s">
        <v>2595</v>
      </c>
      <c r="B82" s="2258" t="str">
        <f>估价对象房地状况!G16</f>
        <v>估价对象周边道路状况、公共交通通达情况、停车便捷程度，综合评价交通便捷度较好</v>
      </c>
      <c r="C82" s="2134"/>
      <c r="D82" s="2251">
        <f t="shared" si="27"/>
        <v>0</v>
      </c>
      <c r="E82" s="2259"/>
      <c r="F82" s="2253"/>
      <c r="G82" s="2254"/>
      <c r="H82" s="2255" t="str">
        <f t="shared" si="28"/>
        <v>——</v>
      </c>
      <c r="I82" s="2256">
        <v>0.33</v>
      </c>
      <c r="J82" s="2257">
        <f t="shared" si="29"/>
        <v>0</v>
      </c>
      <c r="K82" s="2257">
        <f t="shared" si="30"/>
        <v>0</v>
      </c>
      <c r="L82" s="2257">
        <v>0</v>
      </c>
      <c r="M82" s="2257">
        <f t="shared" si="31"/>
        <v>0</v>
      </c>
      <c r="N82" s="2257">
        <f t="shared" si="31"/>
        <v>0</v>
      </c>
      <c r="Q82" s="3025"/>
      <c r="R82" s="3025"/>
      <c r="S82" s="3025"/>
      <c r="T82" s="3025"/>
      <c r="U82" s="3025"/>
      <c r="V82" s="3025"/>
      <c r="W82" s="3025"/>
      <c r="AA82" s="1592"/>
      <c r="AG82" s="2233"/>
    </row>
    <row r="83" spans="1:33" ht="24">
      <c r="A83" s="2246" t="s">
        <v>2596</v>
      </c>
      <c r="B83" s="2258">
        <f>估价对象房地状况!G17</f>
        <v>0</v>
      </c>
      <c r="C83" s="2134"/>
      <c r="D83" s="2251">
        <f t="shared" si="27"/>
        <v>0</v>
      </c>
      <c r="E83" s="2259"/>
      <c r="F83" s="2253"/>
      <c r="G83" s="2254"/>
      <c r="H83" s="2255" t="str">
        <f t="shared" si="28"/>
        <v>——</v>
      </c>
      <c r="I83" s="2256">
        <v>0.05</v>
      </c>
      <c r="J83" s="2257">
        <f t="shared" si="29"/>
        <v>0</v>
      </c>
      <c r="K83" s="2257">
        <f t="shared" si="30"/>
        <v>0</v>
      </c>
      <c r="L83" s="2257">
        <v>0</v>
      </c>
      <c r="M83" s="2257">
        <f t="shared" si="31"/>
        <v>0</v>
      </c>
      <c r="N83" s="2257">
        <f t="shared" si="31"/>
        <v>0</v>
      </c>
      <c r="Q83" s="3025"/>
      <c r="R83" s="3025"/>
      <c r="S83" s="3025"/>
      <c r="T83" s="3025"/>
      <c r="U83" s="3025"/>
      <c r="V83" s="3025"/>
      <c r="W83" s="3025"/>
      <c r="AA83" s="1592"/>
      <c r="AG83" s="2233"/>
    </row>
    <row r="84" spans="1:33" ht="14.25">
      <c r="A84" s="2246" t="s">
        <v>2612</v>
      </c>
      <c r="B84" s="2258">
        <f>估价对象房地状况!G22</f>
        <v>0</v>
      </c>
      <c r="C84" s="2134"/>
      <c r="D84" s="2251">
        <f t="shared" si="27"/>
        <v>0</v>
      </c>
      <c r="E84" s="2259"/>
      <c r="F84" s="2253"/>
      <c r="G84" s="2254"/>
      <c r="H84" s="2255" t="str">
        <f t="shared" si="28"/>
        <v>——</v>
      </c>
      <c r="I84" s="2256">
        <v>0.04</v>
      </c>
      <c r="J84" s="2257">
        <f t="shared" si="29"/>
        <v>0</v>
      </c>
      <c r="K84" s="2257">
        <f t="shared" si="30"/>
        <v>0</v>
      </c>
      <c r="L84" s="2257">
        <v>0</v>
      </c>
      <c r="M84" s="2257">
        <f t="shared" si="31"/>
        <v>0</v>
      </c>
      <c r="N84" s="2257">
        <f t="shared" si="31"/>
        <v>0</v>
      </c>
      <c r="Q84" s="3025"/>
      <c r="R84" s="3025"/>
      <c r="S84" s="3025"/>
      <c r="T84" s="3025"/>
      <c r="U84" s="3025"/>
      <c r="V84" s="3025"/>
      <c r="W84" s="3025"/>
      <c r="AA84" s="1592"/>
      <c r="AG84" s="2233"/>
    </row>
    <row r="85" spans="1:33" ht="25.5">
      <c r="A85" s="2246" t="s">
        <v>2602</v>
      </c>
      <c r="B85" s="2263" t="str">
        <f>估价对象房地状况!G19</f>
        <v>估价对象所在区域公共配套设施齐备情况</v>
      </c>
      <c r="C85" s="2134"/>
      <c r="D85" s="2251">
        <f t="shared" si="27"/>
        <v>0</v>
      </c>
      <c r="E85" s="2259"/>
      <c r="F85" s="2253"/>
      <c r="G85" s="2254"/>
      <c r="H85" s="2255" t="str">
        <f t="shared" si="28"/>
        <v>——</v>
      </c>
      <c r="I85" s="2256">
        <v>0.06</v>
      </c>
      <c r="J85" s="2257">
        <f t="shared" si="29"/>
        <v>0</v>
      </c>
      <c r="K85" s="2257">
        <f t="shared" si="30"/>
        <v>0</v>
      </c>
      <c r="L85" s="2257">
        <v>0</v>
      </c>
      <c r="M85" s="2257">
        <f t="shared" si="31"/>
        <v>0</v>
      </c>
      <c r="N85" s="2257">
        <f t="shared" si="31"/>
        <v>0</v>
      </c>
      <c r="Q85" s="3025"/>
      <c r="R85" s="3025"/>
      <c r="S85" s="3025"/>
      <c r="T85" s="3025"/>
      <c r="U85" s="3025"/>
      <c r="V85" s="3025"/>
      <c r="W85" s="3025"/>
      <c r="AA85" s="1592"/>
      <c r="AG85" s="2233"/>
    </row>
    <row r="86" spans="1:33" ht="25.5">
      <c r="A86" s="2246" t="s">
        <v>2603</v>
      </c>
      <c r="B86" s="2263" t="str">
        <f>估价对象房地状况!G20</f>
        <v>估价对象所在区域基础设施水平</v>
      </c>
      <c r="C86" s="2134"/>
      <c r="D86" s="2251">
        <f t="shared" si="27"/>
        <v>0</v>
      </c>
      <c r="E86" s="2259"/>
      <c r="F86" s="2253"/>
      <c r="G86" s="2254"/>
      <c r="H86" s="2255" t="str">
        <f t="shared" si="28"/>
        <v>——</v>
      </c>
      <c r="I86" s="2256">
        <v>0.15</v>
      </c>
      <c r="J86" s="2257">
        <f t="shared" si="29"/>
        <v>0</v>
      </c>
      <c r="K86" s="2257">
        <f t="shared" si="30"/>
        <v>0</v>
      </c>
      <c r="L86" s="2257">
        <v>0</v>
      </c>
      <c r="M86" s="2257">
        <f t="shared" si="31"/>
        <v>0</v>
      </c>
      <c r="N86" s="2257">
        <f t="shared" si="31"/>
        <v>0</v>
      </c>
      <c r="Q86" s="3025"/>
      <c r="R86" s="3025"/>
      <c r="S86" s="3025"/>
      <c r="T86" s="3025"/>
      <c r="U86" s="3025"/>
      <c r="V86" s="3025"/>
      <c r="W86" s="3025"/>
      <c r="AA86" s="1592"/>
      <c r="AG86" s="2233"/>
    </row>
    <row r="87" spans="1:33" ht="24">
      <c r="A87" s="2246" t="s">
        <v>2600</v>
      </c>
      <c r="B87" s="2261" t="s">
        <v>2601</v>
      </c>
      <c r="C87" s="2134"/>
      <c r="D87" s="2251">
        <f t="shared" si="27"/>
        <v>0</v>
      </c>
      <c r="E87" s="2259"/>
      <c r="F87" s="2253"/>
      <c r="G87" s="2254"/>
      <c r="H87" s="2255" t="str">
        <f t="shared" si="28"/>
        <v>——</v>
      </c>
      <c r="I87" s="2256">
        <v>0.05</v>
      </c>
      <c r="J87" s="2257">
        <f t="shared" si="29"/>
        <v>0</v>
      </c>
      <c r="K87" s="2257">
        <f t="shared" si="30"/>
        <v>0</v>
      </c>
      <c r="L87" s="2257">
        <v>0</v>
      </c>
      <c r="M87" s="2257">
        <f t="shared" si="31"/>
        <v>0</v>
      </c>
      <c r="N87" s="2257">
        <f t="shared" si="31"/>
        <v>0</v>
      </c>
      <c r="Q87" s="3025"/>
      <c r="R87" s="3025"/>
      <c r="S87" s="3025"/>
      <c r="T87" s="3025"/>
      <c r="U87" s="3025"/>
      <c r="V87" s="3025"/>
      <c r="W87" s="3025"/>
      <c r="AA87" s="1592"/>
      <c r="AG87" s="2233"/>
    </row>
    <row r="88" spans="1:33" ht="39" thickBot="1">
      <c r="A88" s="2264" t="s">
        <v>2616</v>
      </c>
      <c r="B88" s="2271" t="str">
        <f>估价对象房地状况!G18</f>
        <v>该园区内是否有污染型企业，绿化情况，卫生条件，整体环境状况判断</v>
      </c>
      <c r="C88" s="2272"/>
      <c r="D88" s="2273">
        <f t="shared" si="27"/>
        <v>0</v>
      </c>
      <c r="E88" s="2266"/>
      <c r="F88" s="2253"/>
      <c r="G88" s="2254"/>
      <c r="H88" s="2255" t="str">
        <f t="shared" si="28"/>
        <v>——</v>
      </c>
      <c r="I88" s="2267">
        <v>0.06</v>
      </c>
      <c r="J88" s="2257">
        <f t="shared" si="29"/>
        <v>0</v>
      </c>
      <c r="K88" s="2257">
        <f t="shared" si="30"/>
        <v>0</v>
      </c>
      <c r="L88" s="2257">
        <v>0</v>
      </c>
      <c r="M88" s="2257">
        <f t="shared" si="31"/>
        <v>0</v>
      </c>
      <c r="N88" s="2257">
        <f t="shared" si="31"/>
        <v>0</v>
      </c>
      <c r="Q88" s="3025"/>
      <c r="R88" s="3025"/>
      <c r="S88" s="3025"/>
      <c r="T88" s="3025"/>
      <c r="U88" s="3025"/>
      <c r="V88" s="3025"/>
      <c r="W88" s="3025"/>
      <c r="AA88" s="1592"/>
      <c r="AG88" s="2233"/>
    </row>
    <row r="89" spans="1:33">
      <c r="Q89" s="3025"/>
      <c r="R89" s="3025"/>
      <c r="S89" s="3025"/>
      <c r="T89" s="3025"/>
      <c r="U89" s="3025"/>
      <c r="V89" s="3025"/>
      <c r="W89" s="3025"/>
    </row>
    <row r="90" spans="1:33">
      <c r="A90" s="3562" t="s">
        <v>2617</v>
      </c>
      <c r="B90" s="3562"/>
      <c r="C90" s="3562"/>
      <c r="D90" s="3562"/>
      <c r="E90" s="3562"/>
      <c r="F90" s="3562"/>
      <c r="G90" s="3562"/>
      <c r="H90" s="3562"/>
      <c r="I90" s="3562"/>
      <c r="J90" s="3562"/>
      <c r="K90" s="2274"/>
      <c r="L90" s="2274"/>
      <c r="M90" s="2274"/>
      <c r="N90" s="2274"/>
      <c r="Q90" s="3025"/>
      <c r="R90" s="3025"/>
      <c r="S90" s="3025"/>
      <c r="T90" s="3025"/>
      <c r="U90" s="3025"/>
      <c r="V90" s="3025"/>
      <c r="W90" s="3025"/>
    </row>
    <row r="91" spans="1:33">
      <c r="A91" s="3564" t="s">
        <v>2618</v>
      </c>
      <c r="B91" s="3564" t="s">
        <v>2619</v>
      </c>
      <c r="C91" s="2213" t="s">
        <v>2620</v>
      </c>
      <c r="D91" s="2214"/>
      <c r="E91" s="2214"/>
      <c r="F91" s="2214"/>
      <c r="G91" s="2214"/>
      <c r="H91" s="2214"/>
      <c r="I91" s="2214"/>
      <c r="J91" s="2276"/>
      <c r="K91" s="2036"/>
      <c r="L91" s="2036"/>
      <c r="M91" s="2036"/>
      <c r="N91" s="2036"/>
      <c r="Q91" s="3025"/>
      <c r="R91" s="3025"/>
      <c r="S91" s="3025"/>
      <c r="T91" s="3025"/>
      <c r="U91" s="3025"/>
      <c r="V91" s="3025"/>
      <c r="W91" s="3025"/>
    </row>
    <row r="92" spans="1:33">
      <c r="A92" s="3564"/>
      <c r="B92" s="3564"/>
      <c r="C92" s="1999" t="s">
        <v>2473</v>
      </c>
      <c r="D92" s="1999" t="s">
        <v>2474</v>
      </c>
      <c r="E92" s="1999" t="s">
        <v>2475</v>
      </c>
      <c r="F92" s="1999" t="s">
        <v>2476</v>
      </c>
      <c r="G92" s="1999" t="s">
        <v>2477</v>
      </c>
      <c r="H92" s="1999" t="s">
        <v>2478</v>
      </c>
      <c r="I92" s="1999" t="s">
        <v>2479</v>
      </c>
      <c r="J92" s="1999" t="s">
        <v>2480</v>
      </c>
      <c r="K92" s="1999" t="s">
        <v>2481</v>
      </c>
      <c r="L92" s="1999" t="s">
        <v>2482</v>
      </c>
      <c r="M92" s="1999" t="s">
        <v>2483</v>
      </c>
      <c r="N92" s="1999" t="s">
        <v>2484</v>
      </c>
      <c r="Q92" s="3025"/>
      <c r="R92" s="3025"/>
      <c r="S92" s="3025"/>
      <c r="T92" s="3025"/>
      <c r="U92" s="3025"/>
      <c r="V92" s="3025"/>
      <c r="W92" s="3025"/>
    </row>
    <row r="93" spans="1:33">
      <c r="A93" s="3565" t="s">
        <v>2621</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56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56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56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56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56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566"/>
      <c r="B99" s="2277" t="s">
        <v>2489</v>
      </c>
      <c r="C99" s="2279">
        <f>$I$3</f>
        <v>0</v>
      </c>
      <c r="D99" s="2279">
        <f t="shared" ref="D99:M99" si="32">$I$3</f>
        <v>0</v>
      </c>
      <c r="E99" s="2279">
        <f t="shared" si="32"/>
        <v>0</v>
      </c>
      <c r="F99" s="2279">
        <f t="shared" si="32"/>
        <v>0</v>
      </c>
      <c r="G99" s="2279">
        <f t="shared" si="32"/>
        <v>0</v>
      </c>
      <c r="H99" s="2279">
        <f t="shared" si="32"/>
        <v>0</v>
      </c>
      <c r="I99" s="2279">
        <f t="shared" si="32"/>
        <v>0</v>
      </c>
      <c r="J99" s="2279">
        <f t="shared" si="32"/>
        <v>0</v>
      </c>
      <c r="K99" s="2279">
        <f t="shared" si="32"/>
        <v>0</v>
      </c>
      <c r="L99" s="2279">
        <f t="shared" si="32"/>
        <v>0</v>
      </c>
      <c r="M99" s="2279">
        <f t="shared" si="32"/>
        <v>0</v>
      </c>
      <c r="N99" s="2279">
        <f>$I$3</f>
        <v>0</v>
      </c>
      <c r="Q99" s="3025"/>
      <c r="R99" s="3025"/>
      <c r="S99" s="3025"/>
      <c r="T99" s="3025"/>
      <c r="U99" s="3025"/>
      <c r="V99" s="3025"/>
      <c r="W99" s="3025"/>
    </row>
    <row r="100" spans="1:23">
      <c r="A100" s="356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565" t="s">
        <v>2622</v>
      </c>
      <c r="B101" s="2281" t="s">
        <v>2623</v>
      </c>
      <c r="C101" s="2282">
        <f>$G$3</f>
        <v>3.5</v>
      </c>
      <c r="D101" s="2282">
        <f t="shared" ref="D101:N101" si="33">$G$3</f>
        <v>3.5</v>
      </c>
      <c r="E101" s="2282">
        <f t="shared" si="33"/>
        <v>3.5</v>
      </c>
      <c r="F101" s="2282">
        <f t="shared" si="33"/>
        <v>3.5</v>
      </c>
      <c r="G101" s="2282">
        <f t="shared" si="33"/>
        <v>3.5</v>
      </c>
      <c r="H101" s="2282">
        <f t="shared" si="33"/>
        <v>3.5</v>
      </c>
      <c r="I101" s="2282">
        <f t="shared" si="33"/>
        <v>3.5</v>
      </c>
      <c r="J101" s="2282">
        <f t="shared" si="33"/>
        <v>3.5</v>
      </c>
      <c r="K101" s="2282">
        <f t="shared" si="33"/>
        <v>3.5</v>
      </c>
      <c r="L101" s="2282">
        <f t="shared" si="33"/>
        <v>3.5</v>
      </c>
      <c r="M101" s="2282">
        <f t="shared" si="33"/>
        <v>3.5</v>
      </c>
      <c r="N101" s="2282">
        <f t="shared" si="33"/>
        <v>3.5</v>
      </c>
      <c r="Q101" s="3025"/>
      <c r="R101" s="3025"/>
      <c r="S101" s="3025"/>
      <c r="T101" s="3025"/>
      <c r="U101" s="3025"/>
      <c r="V101" s="3025"/>
      <c r="W101" s="3025"/>
    </row>
    <row r="102" spans="1:23">
      <c r="A102" s="3566"/>
      <c r="B102" s="2277">
        <v>1</v>
      </c>
      <c r="C102" s="2278">
        <f>1.9362/C101</f>
        <v>0.55320000000000003</v>
      </c>
      <c r="D102" s="2278">
        <f>1.9362/D101</f>
        <v>0.55320000000000003</v>
      </c>
      <c r="E102" s="2278">
        <f>1.8629/E101</f>
        <v>0.53225714285714287</v>
      </c>
      <c r="F102" s="2278">
        <f>1.8629/F101</f>
        <v>0.53225714285714287</v>
      </c>
      <c r="G102" s="2278">
        <f>1.8629/G101</f>
        <v>0.53225714285714287</v>
      </c>
      <c r="H102" s="2278">
        <f>1.8629/H101</f>
        <v>0.53225714285714287</v>
      </c>
      <c r="I102" s="2278">
        <f>1.8629/I101</f>
        <v>0.53225714285714287</v>
      </c>
      <c r="J102" s="2278">
        <f>1.942/J101</f>
        <v>0.55485714285714283</v>
      </c>
      <c r="K102" s="2278">
        <f>1.942/K101</f>
        <v>0.55485714285714283</v>
      </c>
      <c r="L102" s="2278">
        <f>1.942/L101</f>
        <v>0.55485714285714283</v>
      </c>
      <c r="M102" s="2278">
        <f>1.942/M101</f>
        <v>0.55485714285714283</v>
      </c>
      <c r="N102" s="2278">
        <f>1.942/N101</f>
        <v>0.55485714285714283</v>
      </c>
      <c r="Q102" s="3025"/>
      <c r="R102" s="3025"/>
      <c r="S102" s="3025"/>
      <c r="T102" s="3025"/>
      <c r="U102" s="3025"/>
      <c r="V102" s="3025"/>
      <c r="W102" s="3025"/>
    </row>
    <row r="103" spans="1:23">
      <c r="A103" s="3566"/>
      <c r="B103" s="2277">
        <v>2</v>
      </c>
      <c r="C103" s="2278">
        <f>1.4198/C101</f>
        <v>0.40565714285714283</v>
      </c>
      <c r="D103" s="2278">
        <f>1.4198/D101</f>
        <v>0.40565714285714283</v>
      </c>
      <c r="E103" s="2278">
        <f>1.3372/E101</f>
        <v>0.38205714285714282</v>
      </c>
      <c r="F103" s="2278">
        <f>1.3372/F101</f>
        <v>0.38205714285714282</v>
      </c>
      <c r="G103" s="2278">
        <f>1.3372/G101</f>
        <v>0.38205714285714282</v>
      </c>
      <c r="H103" s="2278">
        <f>1.3372/H101</f>
        <v>0.38205714285714282</v>
      </c>
      <c r="I103" s="2278">
        <f>1.3372/I101</f>
        <v>0.38205714285714282</v>
      </c>
      <c r="J103" s="2278">
        <f>1.2799/J101</f>
        <v>0.36568571428571428</v>
      </c>
      <c r="K103" s="2278">
        <f>1.2799/K101</f>
        <v>0.36568571428571428</v>
      </c>
      <c r="L103" s="2278">
        <f>1.2799/L101</f>
        <v>0.36568571428571428</v>
      </c>
      <c r="M103" s="2278">
        <f>1.2799/M101</f>
        <v>0.36568571428571428</v>
      </c>
      <c r="N103" s="2278">
        <f>1.2799/N101</f>
        <v>0.36568571428571428</v>
      </c>
      <c r="Q103" s="3025"/>
      <c r="R103" s="3025"/>
      <c r="S103" s="3025"/>
      <c r="T103" s="3025"/>
      <c r="U103" s="3025"/>
      <c r="V103" s="3025"/>
      <c r="W103" s="3025"/>
    </row>
    <row r="104" spans="1:23">
      <c r="A104" s="3566"/>
      <c r="B104" s="2277">
        <v>3</v>
      </c>
      <c r="C104" s="2278">
        <f>1.1594/C101</f>
        <v>0.33125714285714286</v>
      </c>
      <c r="D104" s="2278">
        <f>1.1594/D101</f>
        <v>0.33125714285714286</v>
      </c>
      <c r="E104" s="2278">
        <f>1.0788/E101</f>
        <v>0.30822857142857141</v>
      </c>
      <c r="F104" s="2278">
        <f>1.0788/F101</f>
        <v>0.30822857142857141</v>
      </c>
      <c r="G104" s="2278">
        <f>1.0788/G101</f>
        <v>0.30822857142857141</v>
      </c>
      <c r="H104" s="2278">
        <f>1.0788/H101</f>
        <v>0.30822857142857141</v>
      </c>
      <c r="I104" s="2278">
        <f>1.0788/I101</f>
        <v>0.30822857142857141</v>
      </c>
      <c r="J104" s="2278">
        <f>1.0072/J101</f>
        <v>0.28777142857142862</v>
      </c>
      <c r="K104" s="2278">
        <f>1.0072/K101</f>
        <v>0.28777142857142862</v>
      </c>
      <c r="L104" s="2278">
        <f>1.0072/L101</f>
        <v>0.28777142857142862</v>
      </c>
      <c r="M104" s="2278">
        <f>1.0072/M101</f>
        <v>0.28777142857142862</v>
      </c>
      <c r="N104" s="2278">
        <f>1.0072/N101</f>
        <v>0.28777142857142862</v>
      </c>
      <c r="Q104" s="3025"/>
      <c r="R104" s="3025"/>
      <c r="S104" s="3025"/>
      <c r="T104" s="3025"/>
      <c r="U104" s="3025"/>
      <c r="V104" s="3025"/>
      <c r="W104" s="3025"/>
    </row>
    <row r="105" spans="1:23">
      <c r="A105" s="3566"/>
      <c r="B105" s="2277">
        <v>4</v>
      </c>
      <c r="C105" s="2278">
        <f>0.9622/C101</f>
        <v>0.27491428571428572</v>
      </c>
      <c r="D105" s="2278">
        <f>0.9622/D101</f>
        <v>0.27491428571428572</v>
      </c>
      <c r="E105" s="2278">
        <f>0.8656/E101</f>
        <v>0.24731428571428574</v>
      </c>
      <c r="F105" s="2278">
        <f>0.8656/F101</f>
        <v>0.24731428571428574</v>
      </c>
      <c r="G105" s="2278">
        <f>0.8656/G101</f>
        <v>0.24731428571428574</v>
      </c>
      <c r="H105" s="2278">
        <f>0.8656/H101</f>
        <v>0.24731428571428574</v>
      </c>
      <c r="I105" s="2278">
        <f>0.8656/I101</f>
        <v>0.24731428571428574</v>
      </c>
      <c r="J105" s="2278">
        <f>0.7525/J101</f>
        <v>0.215</v>
      </c>
      <c r="K105" s="2278">
        <f>0.7525/K101</f>
        <v>0.215</v>
      </c>
      <c r="L105" s="2278">
        <f>0.7525/L101</f>
        <v>0.215</v>
      </c>
      <c r="M105" s="2278">
        <f>0.7525/M101</f>
        <v>0.215</v>
      </c>
      <c r="N105" s="2278">
        <f>0.7525/N101</f>
        <v>0.215</v>
      </c>
      <c r="Q105" s="3025"/>
      <c r="R105" s="3025"/>
      <c r="S105" s="3025"/>
      <c r="T105" s="3025"/>
      <c r="U105" s="3025"/>
      <c r="V105" s="3025"/>
      <c r="W105" s="3025"/>
    </row>
    <row r="106" spans="1:23">
      <c r="A106" s="3566"/>
      <c r="B106" s="2277">
        <v>5</v>
      </c>
      <c r="C106" s="2278">
        <f>0.8417/C101</f>
        <v>0.24048571428571427</v>
      </c>
      <c r="D106" s="2278">
        <f>0.8417/D101</f>
        <v>0.24048571428571427</v>
      </c>
      <c r="E106" s="2278">
        <f>0.7371/E101</f>
        <v>0.21059999999999998</v>
      </c>
      <c r="F106" s="2278">
        <f>0.7371/F101</f>
        <v>0.21059999999999998</v>
      </c>
      <c r="G106" s="2278">
        <f>0.7371/G101</f>
        <v>0.21059999999999998</v>
      </c>
      <c r="H106" s="2278">
        <f>0.7371/H101</f>
        <v>0.21059999999999998</v>
      </c>
      <c r="I106" s="2278">
        <f>0.7371/I101</f>
        <v>0.21059999999999998</v>
      </c>
      <c r="J106" s="2278">
        <f>0.5659/J101</f>
        <v>0.16168571428571427</v>
      </c>
      <c r="K106" s="2278">
        <f>0.5659/K101</f>
        <v>0.16168571428571427</v>
      </c>
      <c r="L106" s="2278">
        <f>0.5659/L101</f>
        <v>0.16168571428571427</v>
      </c>
      <c r="M106" s="2278">
        <f>0.5659/M101</f>
        <v>0.16168571428571427</v>
      </c>
      <c r="N106" s="2278">
        <f>0.5659/N101</f>
        <v>0.16168571428571427</v>
      </c>
      <c r="Q106" s="3025"/>
      <c r="R106" s="3025"/>
      <c r="S106" s="3025"/>
      <c r="T106" s="3025"/>
      <c r="U106" s="3025"/>
      <c r="V106" s="3025"/>
      <c r="W106" s="3025"/>
    </row>
    <row r="107" spans="1:23">
      <c r="A107" s="3566"/>
      <c r="B107" s="2277">
        <v>6</v>
      </c>
      <c r="C107" s="2278">
        <f>0.7608/C101</f>
        <v>0.21737142857142858</v>
      </c>
      <c r="D107" s="2278">
        <f>0.7608/D101</f>
        <v>0.21737142857142858</v>
      </c>
      <c r="E107" s="2278">
        <f>0.6482/E101</f>
        <v>0.1852</v>
      </c>
      <c r="F107" s="2278">
        <f>0.6482/F101</f>
        <v>0.1852</v>
      </c>
      <c r="G107" s="2278">
        <f>0.6482/G101</f>
        <v>0.1852</v>
      </c>
      <c r="H107" s="2278">
        <f>0.6482/H101</f>
        <v>0.1852</v>
      </c>
      <c r="I107" s="2278">
        <f>0.6482/I101</f>
        <v>0.1852</v>
      </c>
      <c r="J107" s="2278">
        <f>0.4525/J101</f>
        <v>0.12928571428571428</v>
      </c>
      <c r="K107" s="2278">
        <f>0.4525/K101</f>
        <v>0.12928571428571428</v>
      </c>
      <c r="L107" s="2278">
        <f>0.4525/L101</f>
        <v>0.12928571428571428</v>
      </c>
      <c r="M107" s="2278">
        <f>0.4525/M101</f>
        <v>0.12928571428571428</v>
      </c>
      <c r="N107" s="2278">
        <f>0.4525/N101</f>
        <v>0.12928571428571428</v>
      </c>
      <c r="Q107" s="3025"/>
      <c r="R107" s="3025"/>
      <c r="S107" s="3025"/>
      <c r="T107" s="3025"/>
      <c r="U107" s="3025"/>
      <c r="V107" s="3025"/>
      <c r="W107" s="3025"/>
    </row>
    <row r="108" spans="1:23">
      <c r="A108" s="3566"/>
      <c r="B108" s="3568" t="s">
        <v>2624</v>
      </c>
      <c r="C108" s="2279">
        <f>C99</f>
        <v>0</v>
      </c>
      <c r="D108" s="2279">
        <f t="shared" ref="D108:N108" si="34">D99</f>
        <v>0</v>
      </c>
      <c r="E108" s="2279">
        <f t="shared" si="34"/>
        <v>0</v>
      </c>
      <c r="F108" s="2279">
        <f t="shared" si="34"/>
        <v>0</v>
      </c>
      <c r="G108" s="2279">
        <f t="shared" si="34"/>
        <v>0</v>
      </c>
      <c r="H108" s="2279">
        <f t="shared" si="34"/>
        <v>0</v>
      </c>
      <c r="I108" s="2279">
        <f t="shared" si="34"/>
        <v>0</v>
      </c>
      <c r="J108" s="2279">
        <f t="shared" si="34"/>
        <v>0</v>
      </c>
      <c r="K108" s="2279">
        <f t="shared" si="34"/>
        <v>0</v>
      </c>
      <c r="L108" s="2279">
        <f t="shared" si="34"/>
        <v>0</v>
      </c>
      <c r="M108" s="2279">
        <f t="shared" si="34"/>
        <v>0</v>
      </c>
      <c r="N108" s="2279">
        <f t="shared" si="34"/>
        <v>0</v>
      </c>
      <c r="Q108" s="3025"/>
      <c r="R108" s="3025"/>
      <c r="S108" s="3025"/>
      <c r="T108" s="3025"/>
      <c r="U108" s="3025"/>
      <c r="V108" s="3025"/>
      <c r="W108" s="3025"/>
    </row>
    <row r="109" spans="1:23">
      <c r="A109" s="3567"/>
      <c r="B109" s="3569"/>
      <c r="C109" s="2280">
        <f>(-0.163*(C108^2)-0.59*C108+7617)*(10^(-4))/C101</f>
        <v>0.21762857142857145</v>
      </c>
      <c r="D109" s="2280">
        <f>(-0.163*(D108^2)-0.59*D108+7617)*(10^(-4))/D101</f>
        <v>0.21762857142857145</v>
      </c>
      <c r="E109" s="2280">
        <f>(-0.161*(E108^2)-7.509*E108+6533)*(10^(-4))/E101</f>
        <v>0.18665714285714285</v>
      </c>
      <c r="F109" s="2280">
        <f>(-0.161*(F108^2)-7.509*F108+6533)*(10^(-4))/F101</f>
        <v>0.18665714285714285</v>
      </c>
      <c r="G109" s="2280">
        <f>(-0.161*(G108^2)-7.509*G108+6533)*(10^(-4))/G101</f>
        <v>0.18665714285714285</v>
      </c>
      <c r="H109" s="2280">
        <f>(-0.161*(H108^2)-7.509*H108+6533)*(10^(-4))/H101</f>
        <v>0.18665714285714285</v>
      </c>
      <c r="I109" s="2280">
        <f>(-0.161*(I108^2)-7.509*I108+6533)*(10^(-4))/I101</f>
        <v>0.18665714285714285</v>
      </c>
      <c r="J109" s="2280">
        <f>(-0.214*(J108^2)-21.991*J108+4665)*(10^(-4))/J101</f>
        <v>0.13328571428571429</v>
      </c>
      <c r="K109" s="2280">
        <f>(-0.214*(K108^2)-21.991*K108+4665)*(10^(-4))/K101</f>
        <v>0.13328571428571429</v>
      </c>
      <c r="L109" s="2280">
        <f>(-0.214*(L108^2)-21.991*L108+4665)*(10^(-4))/L101</f>
        <v>0.13328571428571429</v>
      </c>
      <c r="M109" s="2280">
        <f>(-0.214*(M108^2)-21.991*M108+4665)*(10^(-4))/M101</f>
        <v>0.13328571428571429</v>
      </c>
      <c r="N109" s="2280">
        <f>(-0.214*(N108^2)-21.991*N108+4665)*(10^(-4))/N101</f>
        <v>0.13328571428571429</v>
      </c>
      <c r="Q109" s="3025"/>
      <c r="R109" s="3025"/>
      <c r="S109" s="3025"/>
      <c r="T109" s="3025"/>
      <c r="U109" s="3025"/>
      <c r="V109" s="3025"/>
      <c r="W109" s="3025"/>
    </row>
    <row r="110" spans="1:23">
      <c r="A110" s="3563" t="s">
        <v>2625</v>
      </c>
      <c r="B110" s="3563"/>
      <c r="C110" s="3563"/>
      <c r="D110" s="3563"/>
      <c r="E110" s="3563"/>
      <c r="F110" s="3563"/>
      <c r="G110" s="3563"/>
      <c r="H110" s="3563"/>
      <c r="I110" s="3563"/>
      <c r="J110" s="3563"/>
      <c r="K110" s="2048"/>
      <c r="L110" s="2048"/>
      <c r="M110" s="2048"/>
      <c r="N110" s="2048"/>
      <c r="Q110" s="3025"/>
      <c r="R110" s="3025"/>
      <c r="S110" s="3025"/>
      <c r="T110" s="3025"/>
      <c r="U110" s="3025"/>
      <c r="V110" s="3025"/>
      <c r="W110" s="3025"/>
    </row>
    <row r="112" spans="1:23" ht="13.5" thickBot="1"/>
    <row r="113" spans="1:13" ht="25.5" thickBot="1">
      <c r="A113" s="2283" t="s">
        <v>2626</v>
      </c>
      <c r="B113" s="2284">
        <f>G3</f>
        <v>3.5</v>
      </c>
      <c r="C113" s="2285" t="s">
        <v>2627</v>
      </c>
      <c r="D113" s="2286">
        <f>SUMPRODUCT((A115:A118=F113)*(B114:M114=H113)*B115:M118)</f>
        <v>0.90700000000000003</v>
      </c>
      <c r="E113" s="1570" t="s">
        <v>2513</v>
      </c>
      <c r="F113" s="2287" t="str">
        <f>E2</f>
        <v>办公</v>
      </c>
      <c r="G113" s="1570" t="s">
        <v>2447</v>
      </c>
      <c r="H113" s="2287" t="str">
        <f>G2</f>
        <v>一级</v>
      </c>
      <c r="I113" s="1570"/>
      <c r="J113" s="2288"/>
      <c r="K113" s="2288"/>
      <c r="L113" s="2288"/>
      <c r="M113" s="2288"/>
    </row>
    <row r="114" spans="1:13">
      <c r="A114" s="2289"/>
      <c r="B114" s="2290" t="s">
        <v>2628</v>
      </c>
      <c r="C114" s="2290" t="s">
        <v>2629</v>
      </c>
      <c r="D114" s="2290" t="s">
        <v>2630</v>
      </c>
      <c r="E114" s="2291" t="s">
        <v>2631</v>
      </c>
      <c r="F114" s="2291" t="s">
        <v>2632</v>
      </c>
      <c r="G114" s="2291" t="s">
        <v>2633</v>
      </c>
      <c r="H114" s="2292" t="s">
        <v>2634</v>
      </c>
      <c r="I114" s="2292" t="s">
        <v>2635</v>
      </c>
      <c r="J114" s="2293" t="s">
        <v>2636</v>
      </c>
      <c r="K114" s="2293" t="s">
        <v>2637</v>
      </c>
      <c r="L114" s="2293" t="s">
        <v>2638</v>
      </c>
      <c r="M114" s="2294" t="s">
        <v>2639</v>
      </c>
    </row>
    <row r="115" spans="1:13">
      <c r="A115" s="2295" t="s">
        <v>2514</v>
      </c>
      <c r="B115" s="2296">
        <f>ROUND(0.9335-0.0094*B113,4)</f>
        <v>0.90059999999999996</v>
      </c>
      <c r="C115" s="2296">
        <f>B115</f>
        <v>0.90059999999999996</v>
      </c>
      <c r="D115" s="2296">
        <f>ROUND(0.8331-0.0109*B113,4)</f>
        <v>0.79500000000000004</v>
      </c>
      <c r="E115" s="2296">
        <f>D115</f>
        <v>0.79500000000000004</v>
      </c>
      <c r="F115" s="2296">
        <f>E115</f>
        <v>0.79500000000000004</v>
      </c>
      <c r="G115" s="2296">
        <f>F115</f>
        <v>0.79500000000000004</v>
      </c>
      <c r="H115" s="2296">
        <f>G115</f>
        <v>0.79500000000000004</v>
      </c>
      <c r="I115" s="2296">
        <f>ROUND(0.689-0.0155*B113,4)</f>
        <v>0.63480000000000003</v>
      </c>
      <c r="J115" s="2296">
        <f t="shared" ref="J115:M118" si="35">I115</f>
        <v>0.63480000000000003</v>
      </c>
      <c r="K115" s="2296">
        <f t="shared" si="35"/>
        <v>0.63480000000000003</v>
      </c>
      <c r="L115" s="2296">
        <f t="shared" si="35"/>
        <v>0.63480000000000003</v>
      </c>
      <c r="M115" s="2297">
        <f t="shared" si="35"/>
        <v>0.63480000000000003</v>
      </c>
    </row>
    <row r="116" spans="1:13">
      <c r="A116" s="2295" t="s">
        <v>2515</v>
      </c>
      <c r="B116" s="2296">
        <f>ROUND(0.949-0.012*B113,4)</f>
        <v>0.90700000000000003</v>
      </c>
      <c r="C116" s="2296">
        <f>B116</f>
        <v>0.90700000000000003</v>
      </c>
      <c r="D116" s="2296">
        <f>ROUND(0.8567-0.013*B113,4)</f>
        <v>0.81120000000000003</v>
      </c>
      <c r="E116" s="2296">
        <f t="shared" ref="E116:H117" si="36">D116</f>
        <v>0.81120000000000003</v>
      </c>
      <c r="F116" s="2296">
        <f t="shared" si="36"/>
        <v>0.81120000000000003</v>
      </c>
      <c r="G116" s="2296">
        <f t="shared" si="36"/>
        <v>0.81120000000000003</v>
      </c>
      <c r="H116" s="2296">
        <f t="shared" si="36"/>
        <v>0.81120000000000003</v>
      </c>
      <c r="I116" s="2296">
        <f>ROUND(0.7694-0.014*B113,4)</f>
        <v>0.72040000000000004</v>
      </c>
      <c r="J116" s="2296">
        <f t="shared" si="35"/>
        <v>0.72040000000000004</v>
      </c>
      <c r="K116" s="2296">
        <f t="shared" si="35"/>
        <v>0.72040000000000004</v>
      </c>
      <c r="L116" s="2296">
        <f t="shared" si="35"/>
        <v>0.72040000000000004</v>
      </c>
      <c r="M116" s="2297">
        <f t="shared" si="35"/>
        <v>0.72040000000000004</v>
      </c>
    </row>
    <row r="117" spans="1:13">
      <c r="A117" s="2295" t="s">
        <v>2516</v>
      </c>
      <c r="B117" s="2296">
        <f>ROUND(0.8808-0.006*B113,4)</f>
        <v>0.85980000000000001</v>
      </c>
      <c r="C117" s="2296">
        <f>B117</f>
        <v>0.85980000000000001</v>
      </c>
      <c r="D117" s="2296">
        <f>ROUND(0.8748-0.008*B113,4)</f>
        <v>0.8468</v>
      </c>
      <c r="E117" s="2296">
        <f t="shared" si="36"/>
        <v>0.8468</v>
      </c>
      <c r="F117" s="2296">
        <f t="shared" si="36"/>
        <v>0.8468</v>
      </c>
      <c r="G117" s="2296">
        <f t="shared" si="36"/>
        <v>0.8468</v>
      </c>
      <c r="H117" s="2296">
        <f t="shared" si="36"/>
        <v>0.8468</v>
      </c>
      <c r="I117" s="2296">
        <f>ROUND(0.7412-0.0095*B113,4)</f>
        <v>0.70799999999999996</v>
      </c>
      <c r="J117" s="2296">
        <f t="shared" si="35"/>
        <v>0.70799999999999996</v>
      </c>
      <c r="K117" s="2296">
        <f t="shared" si="35"/>
        <v>0.70799999999999996</v>
      </c>
      <c r="L117" s="2296">
        <f t="shared" si="35"/>
        <v>0.70799999999999996</v>
      </c>
      <c r="M117" s="2297">
        <f t="shared" si="35"/>
        <v>0.70799999999999996</v>
      </c>
    </row>
    <row r="118" spans="1:13" ht="13.5" thickBot="1">
      <c r="A118" s="2298" t="s">
        <v>2517</v>
      </c>
      <c r="B118" s="2299">
        <f>ROUND(0.7275-0.01*B113,4)</f>
        <v>0.6925</v>
      </c>
      <c r="C118" s="2299">
        <f>B118</f>
        <v>0.6925</v>
      </c>
      <c r="D118" s="2299">
        <f>ROUND(0.7043-0.012*B113,4)</f>
        <v>0.6623</v>
      </c>
      <c r="E118" s="2299">
        <f>D118</f>
        <v>0.6623</v>
      </c>
      <c r="F118" s="2299">
        <f>E118</f>
        <v>0.6623</v>
      </c>
      <c r="G118" s="2299">
        <f>ROUND(0.6299-0.0122*B113,4)</f>
        <v>0.58720000000000006</v>
      </c>
      <c r="H118" s="2299">
        <f>G118</f>
        <v>0.58720000000000006</v>
      </c>
      <c r="I118" s="2299">
        <f>ROUND(0.5667-0.0136*B113,4)</f>
        <v>0.51910000000000001</v>
      </c>
      <c r="J118" s="2299">
        <f t="shared" si="35"/>
        <v>0.51910000000000001</v>
      </c>
      <c r="K118" s="2299">
        <f t="shared" si="35"/>
        <v>0.51910000000000001</v>
      </c>
      <c r="L118" s="2299">
        <f t="shared" si="35"/>
        <v>0.51910000000000001</v>
      </c>
      <c r="M118" s="2300">
        <f t="shared" si="35"/>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14970551</v>
      </c>
      <c r="C2" s="79" t="str">
        <f>'数据-取费表'!B3</f>
        <v>元</v>
      </c>
      <c r="D2" s="1484" t="s">
        <v>1184</v>
      </c>
      <c r="E2" s="1149" t="e">
        <f ca="1">SUMIF(INDIRECT("'"&amp;G2&amp;"'"&amp;"!A:A"),"承租人权益价值",INDIRECT("'"&amp;G2&amp;"'"&amp;"!c:c"))</f>
        <v>#REF!</v>
      </c>
      <c r="F2" s="1485" t="str">
        <f>C2</f>
        <v>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57710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10146228</v>
      </c>
      <c r="D5" s="111" t="s">
        <v>1863</v>
      </c>
      <c r="E5" s="1135" t="s">
        <v>1864</v>
      </c>
      <c r="F5" s="1135"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4">
        <f>基准地价修正!B2</f>
        <v>9795581</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298765</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51882</v>
      </c>
      <c r="D8" s="1139"/>
      <c r="E8" s="115"/>
      <c r="F8" s="1138"/>
      <c r="G8" s="1486" t="s">
        <v>2987</v>
      </c>
    </row>
    <row r="9" spans="1:123" s="91" customFormat="1" ht="13.5" customHeight="1">
      <c r="A9" s="991" t="s">
        <v>945</v>
      </c>
      <c r="B9" s="97" t="s">
        <v>1872</v>
      </c>
      <c r="C9" s="1140">
        <f>ROUND(D9*E9,0)</f>
        <v>0</v>
      </c>
      <c r="D9" s="1141">
        <f>IF('数据-取费表'!B10="住宅",IF(B1="仅计算典型户型",'数据-取费表'!E5,'数据-取费表'!B5),0)</f>
        <v>0</v>
      </c>
      <c r="E9" s="1140">
        <f>'数据-取费表'!E11</f>
        <v>160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1873</v>
      </c>
      <c r="C10" s="1140">
        <f>ROUND(D10*E10,0)</f>
        <v>51882</v>
      </c>
      <c r="D10" s="1141">
        <f>IF('数据-取费表'!B10&lt;&gt;"住宅",IF(B1="仅计算典型户型",'数据-取费表'!E5,'数据-取费表'!B5),0)</f>
        <v>259.41000000000003</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7"/>
      <c r="F14" s="1137"/>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7"/>
      <c r="F15" s="1137"/>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3"/>
      <c r="D17" s="1143"/>
      <c r="E17" s="1143"/>
      <c r="F17" s="1143"/>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7"/>
      <c r="F18" s="1138">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4">
        <f>IF(B1="仅计算典型户型",'数据-取费表'!E5,'数据-取费表'!B5)</f>
        <v>259.41000000000003</v>
      </c>
      <c r="E19" s="111">
        <f>'数据-取费表'!E15</f>
        <v>200</v>
      </c>
      <c r="F19" s="112"/>
      <c r="G19" s="1486" t="s">
        <v>2988</v>
      </c>
    </row>
    <row r="20" spans="1:123" s="91" customFormat="1" ht="13.5" customHeight="1">
      <c r="A20" s="120" t="s">
        <v>1885</v>
      </c>
      <c r="B20" s="89" t="s">
        <v>1886</v>
      </c>
      <c r="C20" s="99">
        <f>ROUND((C5+C19)*F20,0)</f>
        <v>202925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878704</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4">
        <f ca="1">ROUND(IF('数据-取费表'!B24&lt;=1,C5*F22*'数据-取费表'!B25,C5*(POWER((1+F22),'数据-取费表'!B25)-1)),0)</f>
        <v>870181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4">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4">
        <f ca="1">ROUND(IF('数据-取费表'!B24&lt;=1,C20*F22*'数据-取费表'!B25/2,C20*(POWER((1+F22),'数据-取费表'!B25/2)-1)),0)</f>
        <v>8523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1903</v>
      </c>
      <c r="B27" s="110" t="s">
        <v>1904</v>
      </c>
      <c r="C27" s="111">
        <f>C28</f>
        <v>1552373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1552373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13847903</v>
      </c>
      <c r="D31" s="1144"/>
      <c r="E31" s="111"/>
      <c r="F31" s="1145"/>
      <c r="G31" s="100" t="s">
        <v>1912</v>
      </c>
    </row>
    <row r="32" spans="1:123" s="88" customFormat="1" ht="15.75">
      <c r="A32" s="117" t="s">
        <v>1913</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1136216</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1037640</v>
      </c>
      <c r="D34" s="1136"/>
      <c r="E34" s="115"/>
      <c r="F34" s="1147" t="str">
        <f>IF('数据-取费表'!B26=0,"",'数据-取费表'!E20)</f>
        <v/>
      </c>
      <c r="G34" s="95"/>
    </row>
    <row r="35" spans="1:123" ht="13.5" customHeight="1">
      <c r="A35" s="92" t="s">
        <v>1868</v>
      </c>
      <c r="B35" s="93" t="s">
        <v>1917</v>
      </c>
      <c r="C35" s="115">
        <f>ROUND(C34*F35,0)</f>
        <v>31129</v>
      </c>
      <c r="D35" s="115"/>
      <c r="E35" s="115"/>
      <c r="F35" s="1148">
        <f>'数据-取费表'!E21</f>
        <v>0.03</v>
      </c>
      <c r="G35" s="95" t="s">
        <v>1918</v>
      </c>
    </row>
    <row r="36" spans="1:123" ht="24">
      <c r="A36" s="92" t="s">
        <v>1870</v>
      </c>
      <c r="B36" s="93" t="s">
        <v>1919</v>
      </c>
      <c r="C36" s="115">
        <f>ROUND(IF('数据-取费表'!B10="住宅",C34*F36,0),0)</f>
        <v>0</v>
      </c>
      <c r="D36" s="115"/>
      <c r="E36" s="115"/>
      <c r="F36" s="1148">
        <f>'数据-取费表'!E22</f>
        <v>0</v>
      </c>
      <c r="G36" s="123" t="s">
        <v>1920</v>
      </c>
    </row>
    <row r="37" spans="1:123" s="122" customFormat="1" ht="13.5" customHeight="1">
      <c r="A37" s="92" t="s">
        <v>1901</v>
      </c>
      <c r="B37" s="93" t="s">
        <v>1921</v>
      </c>
      <c r="C37" s="115">
        <f>ROUND(E37*D37,0)</f>
        <v>51882</v>
      </c>
      <c r="D37" s="1136">
        <f>IF(B1="仅计算典型户型",'数据-取费表'!E5,'数据-取费表'!B5)</f>
        <v>259.41000000000003</v>
      </c>
      <c r="E37" s="115">
        <f>'数据-取费表'!E23</f>
        <v>200</v>
      </c>
      <c r="F37" s="1148"/>
      <c r="G37" s="124" t="s">
        <v>1922</v>
      </c>
    </row>
    <row r="38" spans="1:123" ht="13.5" customHeight="1">
      <c r="A38" s="92" t="s">
        <v>1923</v>
      </c>
      <c r="B38" s="93" t="s">
        <v>1924</v>
      </c>
      <c r="C38" s="115">
        <f>ROUND(C34*F38,0)</f>
        <v>15565</v>
      </c>
      <c r="D38" s="115"/>
      <c r="E38" s="115"/>
      <c r="F38" s="1148">
        <f>'数据-取费表'!E24</f>
        <v>1.4999999999999999E-2</v>
      </c>
      <c r="G38" s="95" t="s">
        <v>1918</v>
      </c>
    </row>
    <row r="39" spans="1:123" s="91" customFormat="1" ht="13.5" customHeight="1">
      <c r="A39" s="120" t="s">
        <v>1883</v>
      </c>
      <c r="B39" s="89" t="s">
        <v>1886</v>
      </c>
      <c r="C39" s="99">
        <f>ROUND(C33*F20,0)</f>
        <v>22724</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1">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48675</v>
      </c>
      <c r="D41" s="101">
        <f ca="1">C44</f>
        <v>8.0000000000000004E-4</v>
      </c>
      <c r="E41" s="102" t="s">
        <v>1926</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47721</v>
      </c>
      <c r="D42" s="104"/>
      <c r="E42" s="104"/>
      <c r="F42" s="105"/>
      <c r="G42" s="3575" t="s">
        <v>1928</v>
      </c>
    </row>
    <row r="43" spans="1:123" ht="13.5" customHeight="1">
      <c r="A43" s="92" t="s">
        <v>1868</v>
      </c>
      <c r="B43" s="93" t="s">
        <v>1897</v>
      </c>
      <c r="C43" s="104">
        <f ca="1">ROUND(IF('数据-取费表'!B24&lt;=1,C39*F22*'数据-取费表'!B23/2,C39*(POWER((1+F22),'数据-取费表'!B23/2)-1)),0)</f>
        <v>954</v>
      </c>
      <c r="D43" s="104"/>
      <c r="E43" s="104"/>
      <c r="F43" s="105"/>
      <c r="G43" s="3576"/>
    </row>
    <row r="44" spans="1:123" ht="13.5" customHeight="1">
      <c r="A44" s="92" t="s">
        <v>1870</v>
      </c>
      <c r="B44" s="93" t="s">
        <v>1899</v>
      </c>
      <c r="C44" s="104">
        <f ca="1">ROUND(IF('数据-取费表'!B24&lt;=1,C40*F22*'数据-取费表'!B23/2,C40*(POWER((1+F22),'数据-取费表'!B23/2)-1)),4)</f>
        <v>8.0000000000000004E-4</v>
      </c>
      <c r="D44" s="104"/>
      <c r="E44" s="104"/>
      <c r="F44" s="105"/>
      <c r="G44" s="3577"/>
    </row>
    <row r="45" spans="1:123" s="91" customFormat="1" ht="13.5" customHeight="1">
      <c r="A45" s="120" t="s">
        <v>1892</v>
      </c>
      <c r="B45" s="110" t="s">
        <v>1904</v>
      </c>
      <c r="C45" s="111">
        <f>C46</f>
        <v>173841</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173841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1903</v>
      </c>
      <c r="B48" s="89" t="s">
        <v>1932</v>
      </c>
      <c r="C48" s="1271">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1934</v>
      </c>
      <c r="B49" s="89" t="s">
        <v>1935</v>
      </c>
      <c r="C49" s="99">
        <f ca="1">ROUND((C33+C39+C41+C45)/(1-C40-D41-D45-C48),0)</f>
        <v>1496864</v>
      </c>
      <c r="D49" s="99"/>
      <c r="E49" s="99"/>
      <c r="F49" s="126"/>
      <c r="G49" s="100" t="s">
        <v>1936</v>
      </c>
    </row>
    <row r="50" spans="1:123" s="122" customFormat="1" ht="24">
      <c r="A50" s="992" t="s">
        <v>1937</v>
      </c>
      <c r="B50" s="89" t="s">
        <v>1938</v>
      </c>
      <c r="C50" s="99"/>
      <c r="D50" s="99"/>
      <c r="E50" s="99"/>
      <c r="F50" s="126">
        <f>IF('数据-取费表'!B26=0,'数据-取费表'!E20,1)</f>
        <v>0.75</v>
      </c>
      <c r="G50" s="113" t="s">
        <v>1939</v>
      </c>
    </row>
    <row r="51" spans="1:123" ht="16.5" customHeight="1">
      <c r="A51" s="992" t="s">
        <v>1940</v>
      </c>
      <c r="B51" s="89" t="s">
        <v>1941</v>
      </c>
      <c r="C51" s="99">
        <f ca="1">ROUND(C49*F50,0)</f>
        <v>1122648</v>
      </c>
      <c r="D51" s="99"/>
      <c r="E51" s="99"/>
      <c r="F51" s="126"/>
      <c r="G51" s="100" t="s">
        <v>1942</v>
      </c>
    </row>
    <row r="52" spans="1:123" s="88" customFormat="1" ht="16.5" thickBot="1">
      <c r="A52" s="127" t="s">
        <v>1943</v>
      </c>
      <c r="B52" s="128"/>
      <c r="C52" s="129">
        <f ca="1">C31+C51</f>
        <v>14970551</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7.4999999999999997E-2</v>
      </c>
    </row>
    <row r="57" spans="1:123">
      <c r="B57" s="135" t="s">
        <v>1946</v>
      </c>
      <c r="C57" s="137">
        <f ca="1">1-C56</f>
        <v>0.92500000000000004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0" t="s">
        <v>1230</v>
      </c>
      <c r="D1" s="1093"/>
      <c r="E1" s="922"/>
      <c r="F1" s="922"/>
      <c r="G1" s="922"/>
      <c r="H1" s="922"/>
      <c r="I1" s="922"/>
      <c r="J1" s="922"/>
      <c r="K1" s="922"/>
    </row>
    <row r="2" spans="1:33" s="139" customFormat="1" ht="18" customHeight="1">
      <c r="A2" s="81" t="s">
        <v>1231</v>
      </c>
      <c r="B2" s="84">
        <f ca="1">IF(C2="元",C32,ROUND(C32/10000,0))</f>
        <v>6131294</v>
      </c>
      <c r="C2" s="1369" t="str">
        <f>'数据-取费表'!B3</f>
        <v>元</v>
      </c>
      <c r="D2" s="922"/>
      <c r="E2" s="922"/>
      <c r="F2" s="922"/>
      <c r="G2" s="922"/>
      <c r="H2" s="922"/>
      <c r="I2" s="922"/>
      <c r="J2" s="922"/>
      <c r="K2" s="922"/>
    </row>
    <row r="3" spans="1:33" s="139" customFormat="1" ht="18" customHeight="1" thickBot="1">
      <c r="A3" s="83" t="s">
        <v>1232</v>
      </c>
      <c r="B3" s="84">
        <f ca="1">ROUND(C32/IF(C1="仅计算典型户型",'数据-取费表'!E5,'数据-取费表'!B5),0)</f>
        <v>23636</v>
      </c>
      <c r="C3" s="1369" t="s">
        <v>1233</v>
      </c>
      <c r="D3" s="922"/>
      <c r="E3" s="922"/>
      <c r="F3" s="922"/>
      <c r="G3" s="922"/>
      <c r="H3" s="922"/>
      <c r="I3" s="922"/>
      <c r="J3" s="922"/>
      <c r="K3" s="922"/>
    </row>
    <row r="4" spans="1:33" s="143" customFormat="1" ht="16.5" customHeight="1">
      <c r="A4" s="140" t="s">
        <v>1234</v>
      </c>
      <c r="B4" s="141"/>
      <c r="C4" s="1092">
        <f>SUM(C8:K8)</f>
        <v>9079350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3" t="s">
        <v>1237</v>
      </c>
      <c r="B6" s="147" t="s">
        <v>1238</v>
      </c>
      <c r="C6" s="148">
        <v>35000</v>
      </c>
      <c r="D6" s="1089"/>
      <c r="E6" s="1089"/>
      <c r="F6" s="1089"/>
      <c r="G6" s="1089"/>
      <c r="H6" s="1089"/>
      <c r="I6" s="1089"/>
      <c r="J6" s="1089"/>
      <c r="K6" s="109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3" t="s">
        <v>1239</v>
      </c>
      <c r="B7" s="147" t="s">
        <v>1240</v>
      </c>
      <c r="C7" s="150">
        <f>IF(C1="仅计算典型户型",'数据-取费表'!E5,'数据-取费表'!B5)</f>
        <v>259.41000000000003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0" t="s">
        <v>1241</v>
      </c>
      <c r="B8" s="147" t="s">
        <v>1242</v>
      </c>
      <c r="C8" s="610">
        <f>C6*C7</f>
        <v>9079350</v>
      </c>
      <c r="D8" s="1091"/>
      <c r="E8" s="1091"/>
      <c r="F8" s="1089"/>
      <c r="G8" s="1089"/>
      <c r="H8" s="1089"/>
      <c r="I8" s="1089"/>
      <c r="J8" s="1089"/>
      <c r="K8" s="109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4" t="s">
        <v>1150</v>
      </c>
      <c r="B11" s="162" t="s">
        <v>1248</v>
      </c>
      <c r="C11" s="163">
        <f>IF(C1="仅计算典型户型",'数据-取费表'!F18,'数据-取费表'!E18)</f>
        <v>1037640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4" t="s">
        <v>1151</v>
      </c>
      <c r="B12" s="162" t="s">
        <v>1249</v>
      </c>
      <c r="C12" s="13">
        <f>ROUND(C11*F12,0)</f>
        <v>31129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4"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4" t="s">
        <v>1153</v>
      </c>
      <c r="B14" s="162" t="s">
        <v>1253</v>
      </c>
      <c r="C14" s="13">
        <f>ROUND(D14*E14*F11,0)</f>
        <v>12971</v>
      </c>
      <c r="D14" s="164">
        <f>IF(C1="仅计算典型户型",'数据-取费表'!E5,'数据-取费表'!B5)</f>
        <v>259.41000000000003</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4" t="s">
        <v>1154</v>
      </c>
      <c r="B15" s="162" t="s">
        <v>1255</v>
      </c>
      <c r="C15" s="175">
        <f>ROUND(C11*F15,0)</f>
        <v>15565</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4" t="s">
        <v>1257</v>
      </c>
      <c r="B16" s="162" t="s">
        <v>1258</v>
      </c>
      <c r="C16" s="163">
        <f>SUM(C11:C15)</f>
        <v>1097305</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4" t="s">
        <v>1259</v>
      </c>
      <c r="B17" s="162" t="s">
        <v>1260</v>
      </c>
      <c r="C17" s="13">
        <f>ROUND(D17*E17,0)</f>
        <v>0</v>
      </c>
      <c r="D17" s="164">
        <f>IF(C1="仅计算典型户型",'数据-取费表'!E5,'数据-取费表'!B5)</f>
        <v>259.41000000000003</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4"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4"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4" t="s">
        <v>948</v>
      </c>
      <c r="B20" s="162" t="s">
        <v>1266</v>
      </c>
      <c r="C20" s="13">
        <f>ROUND(D20*E20,0)</f>
        <v>51882</v>
      </c>
      <c r="D20" s="164">
        <f>IF('数据-取费表'!B10&lt;&gt;"住宅",IF(C1="仅计算典型户型",'数据-取费表'!E5,'数据-取费表'!B5),0)</f>
        <v>259.41000000000003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3" t="s">
        <v>1237</v>
      </c>
      <c r="B21" s="177" t="s">
        <v>1267</v>
      </c>
      <c r="C21" s="178">
        <f>C16+C17+C18</f>
        <v>1097305</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3" t="s">
        <v>1239</v>
      </c>
      <c r="B22" s="177" t="s">
        <v>1269</v>
      </c>
      <c r="C22" s="178">
        <f>ROUND(C21*F22,0)</f>
        <v>21946</v>
      </c>
      <c r="D22" s="180"/>
      <c r="E22" s="180"/>
      <c r="F22" s="181">
        <f>'数据-取费表'!E25</f>
        <v>0.02</v>
      </c>
      <c r="G22" s="156" t="s">
        <v>1270</v>
      </c>
      <c r="H22" s="159"/>
      <c r="I22" s="159"/>
      <c r="J22" s="159"/>
      <c r="K22" s="160"/>
      <c r="L22" s="182"/>
      <c r="M22" s="182"/>
      <c r="N22" s="182"/>
    </row>
    <row r="23" spans="1:33" s="166" customFormat="1" ht="13.5" customHeight="1">
      <c r="A23" s="993" t="s">
        <v>1241</v>
      </c>
      <c r="B23" s="177" t="s">
        <v>1271</v>
      </c>
      <c r="C23" s="178">
        <f>ROUND(C4*F23*F11,0)</f>
        <v>45397</v>
      </c>
      <c r="D23" s="180"/>
      <c r="E23" s="180"/>
      <c r="F23" s="181">
        <f>'数据-取费表'!E26</f>
        <v>0.02</v>
      </c>
      <c r="G23" s="156" t="s">
        <v>1272</v>
      </c>
      <c r="H23" s="159"/>
      <c r="I23" s="159"/>
      <c r="J23" s="159"/>
      <c r="K23" s="160"/>
    </row>
    <row r="24" spans="1:33" s="166" customFormat="1" ht="13.5" customHeight="1">
      <c r="A24" s="993"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3"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4"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3" t="s">
        <v>1283</v>
      </c>
      <c r="B28" s="198" t="s">
        <v>1284</v>
      </c>
      <c r="C28" s="199">
        <f>C30</f>
        <v>174697</v>
      </c>
      <c r="D28" s="183">
        <f>C29</f>
        <v>0.15440000000000001</v>
      </c>
      <c r="E28" s="189" t="s">
        <v>12</v>
      </c>
      <c r="F28" s="200">
        <f>'数据-取费表'!E28</f>
        <v>0.15</v>
      </c>
      <c r="G28" s="185"/>
      <c r="H28" s="186"/>
      <c r="I28" s="186"/>
      <c r="J28" s="186"/>
      <c r="K28" s="187"/>
    </row>
    <row r="29" spans="1:33" s="204" customFormat="1" ht="13.5" customHeight="1">
      <c r="A29" s="994" t="s">
        <v>1285</v>
      </c>
      <c r="B29" s="202" t="s">
        <v>1286</v>
      </c>
      <c r="C29" s="193">
        <f>ROUND((1+C24)*F28,4)</f>
        <v>0.15440000000000001</v>
      </c>
      <c r="D29" s="193"/>
      <c r="E29" s="194"/>
      <c r="F29" s="203"/>
      <c r="G29" s="147" t="s">
        <v>1287</v>
      </c>
      <c r="H29" s="170"/>
      <c r="I29" s="170"/>
      <c r="J29" s="170"/>
      <c r="K29" s="171"/>
    </row>
    <row r="30" spans="1:33" s="204" customFormat="1" ht="13.5" customHeight="1">
      <c r="A30" s="994" t="s">
        <v>1288</v>
      </c>
      <c r="B30" s="202" t="s">
        <v>1289</v>
      </c>
      <c r="C30" s="205">
        <f>ROUND((C21+C22+C23)*F28,0)</f>
        <v>174697</v>
      </c>
      <c r="D30" s="193"/>
      <c r="E30" s="206"/>
      <c r="F30" s="203"/>
      <c r="G30" s="147"/>
      <c r="H30" s="170"/>
      <c r="I30" s="170"/>
      <c r="J30" s="170"/>
      <c r="K30" s="171"/>
    </row>
    <row r="31" spans="1:33" s="182" customFormat="1" ht="13.5" customHeight="1" thickBot="1">
      <c r="A31" s="1371" t="s">
        <v>1290</v>
      </c>
      <c r="B31" s="177" t="s">
        <v>1291</v>
      </c>
      <c r="C31" s="207">
        <f>ROUND(C4*F31/(1+'数据-取费表'!F30),0)</f>
        <v>484232</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6131294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4"/>
    </row>
    <row r="2" spans="1:7">
      <c r="A2" s="901"/>
      <c r="B2" s="704"/>
    </row>
    <row r="3" spans="1:7">
      <c r="A3" s="901"/>
      <c r="B3" s="704"/>
    </row>
    <row r="4" spans="1:7">
      <c r="A4" s="901"/>
      <c r="B4" s="704"/>
    </row>
    <row r="5" spans="1:7">
      <c r="A5" s="901"/>
      <c r="B5" s="704"/>
    </row>
    <row r="6" spans="1:7">
      <c r="A6" s="901"/>
      <c r="B6" s="704"/>
    </row>
    <row r="7" spans="1:7">
      <c r="A7" s="901"/>
      <c r="B7" s="704"/>
    </row>
    <row r="8" spans="1:7">
      <c r="A8" s="904" t="s">
        <v>940</v>
      </c>
      <c r="B8" s="903" t="s">
        <v>939</v>
      </c>
      <c r="C8" s="813"/>
    </row>
    <row r="9" spans="1:7">
      <c r="A9" s="901"/>
      <c r="B9" s="1307" t="str">
        <f>项目基本情况!B1</f>
        <v>北京市房地产抵押价值预评估</v>
      </c>
      <c r="C9" s="814"/>
      <c r="D9" s="815"/>
      <c r="E9" s="815"/>
      <c r="F9" s="815"/>
      <c r="G9" s="815"/>
    </row>
    <row r="10" spans="1:7">
      <c r="A10" s="901"/>
      <c r="B10" s="834"/>
      <c r="C10" s="814"/>
      <c r="D10" s="815"/>
      <c r="E10" s="815"/>
      <c r="F10" s="815"/>
      <c r="G10" s="815"/>
    </row>
    <row r="11" spans="1:7">
      <c r="A11" s="904" t="s">
        <v>940</v>
      </c>
      <c r="B11" s="903" t="s">
        <v>941</v>
      </c>
      <c r="C11" s="813"/>
    </row>
    <row r="12" spans="1:7">
      <c r="A12" s="901"/>
      <c r="B12" s="1308" t="str">
        <f>项目基本情况!B4</f>
        <v>xx</v>
      </c>
      <c r="C12" s="813"/>
    </row>
    <row r="13" spans="1:7">
      <c r="A13" s="901"/>
      <c r="B13" s="833"/>
      <c r="C13" s="813"/>
    </row>
    <row r="14" spans="1:7">
      <c r="A14" s="904" t="s">
        <v>940</v>
      </c>
      <c r="B14" s="903" t="s">
        <v>942</v>
      </c>
      <c r="C14" s="813"/>
    </row>
    <row r="15" spans="1:7">
      <c r="A15" s="901"/>
      <c r="B15" s="1308" t="s">
        <v>771</v>
      </c>
      <c r="C15" s="813"/>
    </row>
    <row r="16" spans="1:7">
      <c r="A16" s="901"/>
      <c r="B16" s="833"/>
      <c r="C16" s="813"/>
    </row>
    <row r="17" spans="1:5">
      <c r="A17" s="904" t="s">
        <v>940</v>
      </c>
      <c r="B17" s="903" t="s">
        <v>943</v>
      </c>
      <c r="C17" s="813"/>
    </row>
    <row r="18" spans="1:5" s="817" customFormat="1">
      <c r="A18" s="902"/>
      <c r="B18" s="1308" t="str">
        <f ca="1">CONCATENATE(项目基本情况!B3,"（注册号:",项目基本情况!C3,"）、",项目基本情况!D3,"（注册号:",项目基本情况!E3,")")</f>
        <v>崔锴（注册号:1120100036）、郑燚（注册号:1120070131)</v>
      </c>
      <c r="C18" s="816"/>
      <c r="E18" s="816"/>
    </row>
    <row r="19" spans="1:5">
      <c r="A19" s="901"/>
      <c r="B19" s="833"/>
      <c r="C19" s="813"/>
    </row>
    <row r="20" spans="1:5">
      <c r="A20" s="904" t="s">
        <v>940</v>
      </c>
      <c r="B20" s="903" t="s">
        <v>944</v>
      </c>
      <c r="C20" s="813"/>
    </row>
    <row r="21" spans="1:5">
      <c r="A21" s="901"/>
      <c r="B21" s="1308" t="str">
        <f>"康正预评字"&amp;项目基本情况!G1&amp;"号"</f>
        <v>康正预评字号</v>
      </c>
    </row>
    <row r="22" spans="1:5">
      <c r="A22" s="901"/>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3" t="s">
        <v>2686</v>
      </c>
      <c r="E1" s="1594" t="s">
        <v>1184</v>
      </c>
      <c r="F1" s="1595"/>
      <c r="G1" s="1596" t="e">
        <f>MATCH(C1,'数据-取费表'!A19:A19,0)+5</f>
        <v>#N/A</v>
      </c>
      <c r="H1" s="2954"/>
      <c r="I1" s="923"/>
      <c r="J1" s="923"/>
      <c r="K1" s="924"/>
      <c r="L1" s="923"/>
      <c r="M1" s="923"/>
      <c r="N1" s="658"/>
      <c r="O1" s="658"/>
      <c r="P1" s="658"/>
      <c r="Q1" s="103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6211867</v>
      </c>
      <c r="C2" s="1487" t="str">
        <f>'数据-取费表'!B3</f>
        <v>元</v>
      </c>
      <c r="D2" s="925"/>
      <c r="E2" s="926"/>
      <c r="F2" s="926"/>
      <c r="G2" s="951"/>
      <c r="H2" s="927"/>
      <c r="I2" s="927"/>
      <c r="J2" s="927"/>
      <c r="K2" s="928"/>
      <c r="L2" s="927"/>
      <c r="M2" s="927"/>
    </row>
    <row r="3" spans="1:37" ht="18" customHeight="1" thickBot="1">
      <c r="A3" s="226" t="s">
        <v>1858</v>
      </c>
      <c r="B3" s="643">
        <f ca="1">ROUND(IF('数据-取费表'!B29="租赁期内按合同租金",(C40+L47+J29)/F43,(C40+L47)/F43),0)</f>
        <v>23946</v>
      </c>
      <c r="C3" s="1487" t="s">
        <v>1948</v>
      </c>
      <c r="D3" s="925"/>
      <c r="E3" s="926"/>
      <c r="F3" s="926"/>
      <c r="G3" s="951"/>
      <c r="H3" s="227" t="s">
        <v>1949</v>
      </c>
      <c r="I3" s="927"/>
      <c r="J3" s="927"/>
      <c r="K3" s="928"/>
      <c r="L3" s="927"/>
      <c r="M3" s="927"/>
    </row>
    <row r="4" spans="1:37" ht="18" customHeight="1">
      <c r="A4" s="228" t="s">
        <v>1950</v>
      </c>
      <c r="B4" s="229" t="s">
        <v>1951</v>
      </c>
      <c r="C4" s="229" t="s">
        <v>1952</v>
      </c>
      <c r="D4" s="229" t="s">
        <v>1953</v>
      </c>
      <c r="E4" s="230" t="s">
        <v>1954</v>
      </c>
      <c r="F4" s="231"/>
      <c r="G4" s="949"/>
      <c r="H4" s="228" t="s">
        <v>1950</v>
      </c>
      <c r="I4" s="229" t="s">
        <v>1951</v>
      </c>
      <c r="J4" s="229" t="s">
        <v>1952</v>
      </c>
      <c r="K4" s="229" t="s">
        <v>1953</v>
      </c>
      <c r="L4" s="230" t="s">
        <v>1954</v>
      </c>
      <c r="M4" s="231"/>
    </row>
    <row r="5" spans="1:37" ht="18" customHeight="1">
      <c r="A5" s="232">
        <v>1</v>
      </c>
      <c r="B5" s="233" t="s">
        <v>1955</v>
      </c>
      <c r="C5" s="234">
        <f ca="1">C6+C10+C12</f>
        <v>333707</v>
      </c>
      <c r="D5" s="1601" t="s">
        <v>2664</v>
      </c>
      <c r="E5" s="925"/>
      <c r="F5" s="1054"/>
      <c r="G5" s="949"/>
      <c r="H5" s="232">
        <v>1</v>
      </c>
      <c r="I5" s="233" t="s">
        <v>1955</v>
      </c>
      <c r="J5" s="234">
        <f ca="1">J6+J10+J12</f>
        <v>0</v>
      </c>
      <c r="K5" s="1488" t="s">
        <v>1956</v>
      </c>
      <c r="L5" s="925"/>
      <c r="M5" s="1054"/>
    </row>
    <row r="6" spans="1:37" ht="18" customHeight="1">
      <c r="A6" s="1055" t="s">
        <v>1957</v>
      </c>
      <c r="B6" s="1410" t="s">
        <v>1958</v>
      </c>
      <c r="C6" s="234">
        <f>ROUND(F6*F8*F7*(1-F9),0)</f>
        <v>333290</v>
      </c>
      <c r="D6" s="36" t="s">
        <v>2641</v>
      </c>
      <c r="E6" s="235" t="s">
        <v>1959</v>
      </c>
      <c r="F6" s="236">
        <f>'数据-取费表'!B30</f>
        <v>4</v>
      </c>
      <c r="G6" s="949"/>
      <c r="H6" s="1055" t="s">
        <v>1957</v>
      </c>
      <c r="I6" s="1410" t="s">
        <v>1958</v>
      </c>
      <c r="J6" s="234">
        <f>ROUND(M6*M8*M7*(1-M9),0)</f>
        <v>0</v>
      </c>
      <c r="K6" s="36" t="s">
        <v>2641</v>
      </c>
      <c r="L6" s="235" t="s">
        <v>1959</v>
      </c>
      <c r="M6" s="236">
        <f>'数据-取费表'!B37</f>
        <v>0</v>
      </c>
    </row>
    <row r="7" spans="1:37" ht="18" customHeight="1">
      <c r="A7" s="1088"/>
      <c r="B7" s="238"/>
      <c r="C7" s="239"/>
      <c r="D7" s="240"/>
      <c r="E7" s="235" t="s">
        <v>1960</v>
      </c>
      <c r="F7" s="236">
        <f>IF('数据-取费表'!B42="",IF(D1="仅计算典型户型",'数据-取费表'!E5,'数据-取费表'!B5),'数据-取费表'!B42)</f>
        <v>259.41000000000003</v>
      </c>
      <c r="G7" s="949"/>
      <c r="H7" s="237"/>
      <c r="I7" s="238"/>
      <c r="J7" s="239"/>
      <c r="K7" s="240"/>
      <c r="L7" s="235" t="s">
        <v>1960</v>
      </c>
      <c r="M7" s="236">
        <f>IF('数据-取费表'!B42="",IF(D1="仅计算典型户型",'数据-取费表'!E5,'数据-取费表'!B5),'数据-取费表'!B42)</f>
        <v>259.41000000000003</v>
      </c>
    </row>
    <row r="8" spans="1:37" ht="18" customHeight="1">
      <c r="A8" s="1088"/>
      <c r="B8" s="238"/>
      <c r="C8" s="239"/>
      <c r="D8" s="240"/>
      <c r="E8" s="235" t="s">
        <v>1961</v>
      </c>
      <c r="F8" s="236">
        <f>'数据-取费表'!B43</f>
        <v>365</v>
      </c>
      <c r="G8" s="949"/>
      <c r="H8" s="237"/>
      <c r="I8" s="238"/>
      <c r="J8" s="239"/>
      <c r="K8" s="240"/>
      <c r="L8" s="235" t="s">
        <v>1962</v>
      </c>
      <c r="M8" s="236">
        <f>'数据-取费表'!B43</f>
        <v>365</v>
      </c>
    </row>
    <row r="9" spans="1:37" ht="18" customHeight="1">
      <c r="A9" s="1088"/>
      <c r="B9" s="238"/>
      <c r="C9" s="239"/>
      <c r="D9" s="244"/>
      <c r="E9" s="235" t="s">
        <v>1963</v>
      </c>
      <c r="F9" s="245">
        <f>'数据-取费表'!B33</f>
        <v>0.12</v>
      </c>
      <c r="G9" s="949"/>
      <c r="H9" s="237"/>
      <c r="I9" s="238"/>
      <c r="J9" s="1057"/>
      <c r="K9" s="43"/>
      <c r="L9" s="246" t="s">
        <v>1963</v>
      </c>
      <c r="M9" s="245">
        <f>'数据-取费表'!B39</f>
        <v>0</v>
      </c>
    </row>
    <row r="10" spans="1:37" ht="18" customHeight="1">
      <c r="A10" s="1055" t="s">
        <v>1964</v>
      </c>
      <c r="B10" s="1489" t="s">
        <v>1965</v>
      </c>
      <c r="C10" s="1056">
        <f ca="1">ROUND(IF(F10="押一",C6/12*F11,IF(F10="押二",C6/12*2*F11,IF(F10="押三",C6/12*3*F11,C11*F11))),0)</f>
        <v>417</v>
      </c>
      <c r="D10" s="1490" t="s">
        <v>2647</v>
      </c>
      <c r="E10" s="246" t="s">
        <v>1966</v>
      </c>
      <c r="F10" s="1491" t="s">
        <v>1967</v>
      </c>
      <c r="G10" s="949"/>
      <c r="H10" s="1055" t="s">
        <v>1964</v>
      </c>
      <c r="I10" s="1489" t="s">
        <v>1965</v>
      </c>
      <c r="J10" s="1056">
        <f ca="1">ROUND(IF(M10="押一",J6/12*M11,IF(M10="押二",J6/12*2*M11,IF(M10="押三",J6/12*3*M11,J11*M11))),0)</f>
        <v>0</v>
      </c>
      <c r="K10" s="36" t="s">
        <v>2647</v>
      </c>
      <c r="L10" s="246" t="s">
        <v>1966</v>
      </c>
      <c r="M10" s="1491"/>
    </row>
    <row r="11" spans="1:37" s="257" customFormat="1" ht="18" customHeight="1">
      <c r="A11" s="263"/>
      <c r="B11" s="1492" t="s">
        <v>1968</v>
      </c>
      <c r="C11" s="1060"/>
      <c r="D11" s="240"/>
      <c r="E11" s="246" t="s">
        <v>1969</v>
      </c>
      <c r="F11" s="247">
        <f ca="1">'数据-取费表'!B31</f>
        <v>1.4999999999999999E-2</v>
      </c>
      <c r="G11" s="950"/>
      <c r="H11" s="241"/>
      <c r="I11" s="1492" t="s">
        <v>1970</v>
      </c>
      <c r="J11" s="1060"/>
      <c r="K11" s="240"/>
      <c r="L11" s="246" t="s">
        <v>1969</v>
      </c>
      <c r="M11" s="247">
        <f ca="1">'数据-取费表'!B31</f>
        <v>1.4999999999999999E-2</v>
      </c>
      <c r="N11" s="657"/>
      <c r="O11" s="657"/>
      <c r="P11" s="657"/>
      <c r="Q11" s="103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5" t="s">
        <v>1971</v>
      </c>
      <c r="B12" s="1493" t="s">
        <v>1972</v>
      </c>
      <c r="C12" s="1066"/>
      <c r="D12" s="1494"/>
      <c r="E12" s="1072"/>
      <c r="F12" s="1067"/>
      <c r="G12" s="949"/>
      <c r="H12" s="1065" t="s">
        <v>1971</v>
      </c>
      <c r="I12" s="1493" t="s">
        <v>1972</v>
      </c>
      <c r="J12" s="1066"/>
      <c r="K12" s="1082"/>
      <c r="L12" s="1072"/>
      <c r="M12" s="1083"/>
    </row>
    <row r="13" spans="1:37" s="257" customFormat="1" ht="18" customHeight="1" thickTop="1">
      <c r="A13" s="1061">
        <v>2</v>
      </c>
      <c r="B13" s="1062" t="s">
        <v>1973</v>
      </c>
      <c r="C13" s="243">
        <f ca="1">ROUND(C29*F13,0)</f>
        <v>1122648</v>
      </c>
      <c r="D13" s="1063" t="s">
        <v>1974</v>
      </c>
      <c r="E13" s="1063" t="s">
        <v>1975</v>
      </c>
      <c r="F13" s="1064">
        <f>'数据-取费表'!E20</f>
        <v>0.75</v>
      </c>
      <c r="G13" s="950"/>
      <c r="H13" s="1061">
        <v>2</v>
      </c>
      <c r="I13" s="1062" t="s">
        <v>1973</v>
      </c>
      <c r="J13" s="1057">
        <f ca="1">ROUND(J14*J15,0)</f>
        <v>0</v>
      </c>
      <c r="K13" s="1068" t="s">
        <v>1974</v>
      </c>
      <c r="L13" s="1080"/>
      <c r="M13" s="1081"/>
      <c r="N13" s="657"/>
      <c r="O13" s="657"/>
      <c r="P13" s="657"/>
      <c r="Q13" s="103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1037640</v>
      </c>
      <c r="D14" s="1296" t="s">
        <v>1978</v>
      </c>
      <c r="E14" s="1297"/>
      <c r="F14" s="799"/>
      <c r="G14" s="950"/>
      <c r="H14" s="253" t="s">
        <v>1957</v>
      </c>
      <c r="I14" s="235" t="s">
        <v>1979</v>
      </c>
      <c r="J14" s="13">
        <f ca="1">C29</f>
        <v>1496864</v>
      </c>
      <c r="K14" s="12"/>
      <c r="L14" s="251"/>
      <c r="M14" s="252"/>
      <c r="N14" s="657"/>
      <c r="O14" s="657"/>
      <c r="P14" s="657"/>
      <c r="Q14" s="103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31129</v>
      </c>
      <c r="D15" s="255" t="s">
        <v>1982</v>
      </c>
      <c r="E15" s="255" t="s">
        <v>1983</v>
      </c>
      <c r="F15" s="256">
        <f>'数据-取费表'!E21</f>
        <v>0.03</v>
      </c>
      <c r="G15" s="949"/>
      <c r="H15" s="1071" t="s">
        <v>1984</v>
      </c>
      <c r="I15" s="1072" t="s">
        <v>1985</v>
      </c>
      <c r="J15" s="1084">
        <f>'数据-取费表'!B40</f>
        <v>0</v>
      </c>
      <c r="K15" s="1085"/>
      <c r="L15" s="1086"/>
      <c r="M15" s="1087"/>
    </row>
    <row r="16" spans="1:37" s="257" customFormat="1" ht="18" customHeight="1" thickTop="1">
      <c r="A16" s="253" t="s">
        <v>1986</v>
      </c>
      <c r="B16" s="235" t="s">
        <v>1987</v>
      </c>
      <c r="C16" s="13">
        <f>ROUND(C14*F16,0)</f>
        <v>0</v>
      </c>
      <c r="D16" s="235" t="s">
        <v>1982</v>
      </c>
      <c r="E16" s="235" t="s">
        <v>1983</v>
      </c>
      <c r="F16" s="258">
        <f>IF('数据-取费表'!B10="住宅",'数据-取费表'!E22,0)</f>
        <v>0</v>
      </c>
      <c r="G16" s="950"/>
      <c r="H16" s="1061" t="s">
        <v>14</v>
      </c>
      <c r="I16" s="1062" t="s">
        <v>1988</v>
      </c>
      <c r="J16" s="243">
        <f ca="1">ROUND(J17+J22+J23+J24,0)</f>
        <v>22453</v>
      </c>
      <c r="K16" s="1068" t="s">
        <v>1989</v>
      </c>
      <c r="L16" s="1069"/>
      <c r="M16" s="1070"/>
      <c r="N16" s="657"/>
      <c r="O16" s="657"/>
      <c r="P16" s="657"/>
      <c r="Q16" s="103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51882</v>
      </c>
      <c r="D17" s="235" t="s">
        <v>1992</v>
      </c>
      <c r="E17" s="235" t="s">
        <v>1993</v>
      </c>
      <c r="F17" s="15">
        <f>'数据-取费表'!E23</f>
        <v>200</v>
      </c>
      <c r="G17" s="950"/>
      <c r="H17" s="253" t="s">
        <v>1994</v>
      </c>
      <c r="I17" s="235" t="s">
        <v>1995</v>
      </c>
      <c r="J17" s="2794">
        <f>ROUND(IF(AND(项目基本情况!B7="自然人",项目基本情况!B6="北京市"),J6*M17/(1+'数据-取费表'!F30),J18+J19+J20),0)</f>
        <v>0</v>
      </c>
      <c r="K17" s="1296" t="s">
        <v>1996</v>
      </c>
      <c r="L17" s="1299" t="s">
        <v>1997</v>
      </c>
      <c r="M17" s="2793">
        <f>IF(项目基本情况!B7="企业","——",IF('数据-取费表'!B10="住宅",IF(M6*M7*M8/12/(1+'数据-取费表'!F30)&gt;100000,4%,2.5%),IF(M6*M7*M8/12/(1+'数据-取费表'!F30)&gt;100000,12%,7%)))</f>
        <v>7.0000000000000007E-2</v>
      </c>
      <c r="N17" s="657"/>
      <c r="O17" s="657"/>
      <c r="P17" s="657"/>
      <c r="Q17" s="103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15565</v>
      </c>
      <c r="D18" s="235" t="s">
        <v>1982</v>
      </c>
      <c r="E18" s="235" t="s">
        <v>1983</v>
      </c>
      <c r="F18" s="258">
        <f>'数据-取费表'!E24</f>
        <v>1.4999999999999999E-2</v>
      </c>
      <c r="G18" s="949"/>
      <c r="H18" s="253" t="s">
        <v>2000</v>
      </c>
      <c r="I18" s="235" t="s">
        <v>2001</v>
      </c>
      <c r="J18" s="13" t="str">
        <f>IF(项目基本情况!B7="自然人","——",ROUND(J6*M18/(1+'数据-取费表'!F30),0))</f>
        <v>——</v>
      </c>
      <c r="K18" s="1299" t="s">
        <v>2666</v>
      </c>
      <c r="L18" s="235" t="s">
        <v>1983</v>
      </c>
      <c r="M18" s="258">
        <f>'数据-取费表'!E29</f>
        <v>5.6000000000000001E-2</v>
      </c>
    </row>
    <row r="19" spans="1:37" s="257" customFormat="1" ht="18" customHeight="1">
      <c r="A19" s="253" t="s">
        <v>1994</v>
      </c>
      <c r="B19" s="235" t="s">
        <v>2002</v>
      </c>
      <c r="C19" s="13">
        <f>SUM(C14:C18)</f>
        <v>1136216</v>
      </c>
      <c r="D19" s="33" t="s">
        <v>2003</v>
      </c>
      <c r="E19" s="1301"/>
      <c r="F19" s="15"/>
      <c r="G19" s="950"/>
      <c r="H19" s="253" t="s">
        <v>1980</v>
      </c>
      <c r="I19" s="235" t="s">
        <v>2004</v>
      </c>
      <c r="J19" s="13" t="str">
        <f>IF(项目基本情况!B7="自然人","——",IF(K19="按租金收入计税",ROUND(J6*M19/(1+'数据-取费表'!F30),0),ROUND(C29*M19*0.7,0)))</f>
        <v>——</v>
      </c>
      <c r="K19" s="1404"/>
      <c r="L19" s="235" t="s">
        <v>1983</v>
      </c>
      <c r="M19" s="258">
        <f>IF(K19="按租金收入计税",'数据-取费表'!E39,'数据-取费表'!E38)</f>
        <v>1.2E-2</v>
      </c>
      <c r="N19" s="657"/>
      <c r="O19" s="657"/>
      <c r="P19" s="657"/>
      <c r="Q19" s="103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22724</v>
      </c>
      <c r="D20" s="259" t="s">
        <v>2007</v>
      </c>
      <c r="E20" s="235" t="s">
        <v>2008</v>
      </c>
      <c r="F20" s="258">
        <f>'数据-取费表'!E25</f>
        <v>0.02</v>
      </c>
      <c r="G20" s="950"/>
      <c r="H20" s="253" t="s">
        <v>1986</v>
      </c>
      <c r="I20" s="36" t="s">
        <v>2009</v>
      </c>
      <c r="J20" s="14" t="str">
        <f>IF(项目基本情况!B7="自然人","——",ROUND(M20*M21,0))</f>
        <v>——</v>
      </c>
      <c r="K20" s="261" t="s">
        <v>2010</v>
      </c>
      <c r="L20" s="235" t="s">
        <v>2011</v>
      </c>
      <c r="M20" s="262">
        <f>'数据-取费表'!E40</f>
        <v>0</v>
      </c>
      <c r="N20" s="657"/>
      <c r="O20" s="657"/>
      <c r="P20" s="657"/>
      <c r="Q20" s="103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49"/>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1"/>
      <c r="F22" s="15"/>
      <c r="G22" s="949"/>
      <c r="H22" s="253" t="s">
        <v>1984</v>
      </c>
      <c r="I22" s="235" t="s">
        <v>2019</v>
      </c>
      <c r="J22" s="13">
        <f ca="1">ROUND(J14*M22,0)</f>
        <v>22453</v>
      </c>
      <c r="K22" s="1299"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48675</v>
      </c>
      <c r="D23" s="1400" t="str">
        <f>IF(F23&lt;=1,"(建造成本+管理费用)×利率×(建设周期÷2)","(建造成本+管理费用)×((1+利率)^(建设周期÷2)-1)")</f>
        <v>(建造成本+管理费用)×((1+利率)^(建设周期÷2)-1)</v>
      </c>
      <c r="E23" s="235" t="s">
        <v>2022</v>
      </c>
      <c r="F23" s="262">
        <f>'数据-取费表'!B22</f>
        <v>2</v>
      </c>
      <c r="G23" s="949"/>
      <c r="H23" s="253" t="s">
        <v>2012</v>
      </c>
      <c r="I23" s="235" t="s">
        <v>2023</v>
      </c>
      <c r="J23" s="13">
        <f ca="1">ROUND(J13*M23,0)</f>
        <v>0</v>
      </c>
      <c r="K23" s="1299"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0" t="str">
        <f>IF(F23&lt;=1,"销售费用×利率×(建设周期÷2)","销售费用×((1+利率)^(建设周期÷2)-1)")</f>
        <v>销售费用×((1+利率)^(建设周期÷2)-1)</v>
      </c>
      <c r="E24" s="235" t="s">
        <v>2028</v>
      </c>
      <c r="F24" s="267">
        <f ca="1">'数据-取费表'!E27</f>
        <v>4.2000000000000003E-2</v>
      </c>
      <c r="G24" s="950"/>
      <c r="H24" s="1071" t="s">
        <v>2017</v>
      </c>
      <c r="I24" s="1072" t="s">
        <v>2006</v>
      </c>
      <c r="J24" s="1073">
        <f ca="1">ROUND(J5*M24,0)</f>
        <v>0</v>
      </c>
      <c r="K24" s="1074" t="s">
        <v>2029</v>
      </c>
      <c r="L24" s="1072" t="s">
        <v>2025</v>
      </c>
      <c r="M24" s="1067">
        <f>'数据-取费表'!B47</f>
        <v>0.01</v>
      </c>
      <c r="N24" s="657"/>
      <c r="O24" s="657"/>
      <c r="P24" s="657"/>
      <c r="Q24" s="103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1"/>
      <c r="F25" s="15"/>
      <c r="G25" s="950"/>
      <c r="H25" s="1061" t="s">
        <v>22</v>
      </c>
      <c r="I25" s="1076" t="s">
        <v>2033</v>
      </c>
      <c r="J25" s="243">
        <f ca="1">J5-J16</f>
        <v>-22453</v>
      </c>
      <c r="K25" s="1077" t="s">
        <v>2034</v>
      </c>
      <c r="L25" s="1078"/>
      <c r="M25" s="1079"/>
      <c r="N25" s="657"/>
      <c r="O25" s="657"/>
      <c r="P25" s="657"/>
      <c r="Q25" s="103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173841</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1" t="s">
        <v>2050</v>
      </c>
      <c r="B29" s="1072" t="s">
        <v>2051</v>
      </c>
      <c r="C29" s="1073">
        <f ca="1">ROUND((C19+C20+C23+C26)/(1-F21-C24-C27-C28),0)</f>
        <v>1496864</v>
      </c>
      <c r="D29" s="1074"/>
      <c r="E29" s="1072"/>
      <c r="F29" s="1075"/>
      <c r="G29" s="652"/>
      <c r="H29" s="271" t="s">
        <v>24</v>
      </c>
      <c r="I29" s="272" t="s">
        <v>2052</v>
      </c>
      <c r="J29" s="273">
        <f ca="1">ROUND(J26/(1+F40)^F41,0)</f>
        <v>0</v>
      </c>
      <c r="K29" s="274" t="s">
        <v>2053</v>
      </c>
      <c r="L29" s="275"/>
      <c r="M29" s="276">
        <f>IF(D1="仅计算典型户型",'数据-取费表'!E5,'数据-取费表'!B5)</f>
        <v>259.41000000000003</v>
      </c>
    </row>
    <row r="30" spans="1:37" ht="18" customHeight="1" thickTop="1">
      <c r="A30" s="1061" t="s">
        <v>14</v>
      </c>
      <c r="B30" s="1062" t="s">
        <v>2054</v>
      </c>
      <c r="C30" s="243">
        <f ca="1">ROUND(C31+C36+C37+C38,0)</f>
        <v>49693</v>
      </c>
      <c r="D30" s="1068" t="s">
        <v>2055</v>
      </c>
      <c r="E30" s="1069"/>
      <c r="F30" s="1070"/>
      <c r="G30" s="652"/>
      <c r="H30" s="929"/>
      <c r="I30" s="930"/>
      <c r="J30" s="931"/>
      <c r="K30" s="932"/>
      <c r="L30" s="933"/>
      <c r="M30" s="934"/>
    </row>
    <row r="31" spans="1:37" ht="18" customHeight="1">
      <c r="A31" s="253" t="s">
        <v>1957</v>
      </c>
      <c r="B31" s="235" t="s">
        <v>1995</v>
      </c>
      <c r="C31" s="2794">
        <f>ROUND(IF(AND(项目基本情况!B7="自然人",项目基本情况!B6="北京市"),C6*F31/(1+'数据-取费表'!F30),C32+C33+C34),0)</f>
        <v>22219</v>
      </c>
      <c r="D31" s="1296" t="s">
        <v>2056</v>
      </c>
      <c r="E31" s="1299" t="s">
        <v>2057</v>
      </c>
      <c r="F31" s="2793">
        <f>IF(项目基本情况!B7="企业","——",IF('数据-取费表'!B10="住宅",IF(F6*F7*F8/12/(1+'数据-取费表'!F30)&gt;100000,4%,2.5%),IF(F6*F7*F8/12/(1+'数据-取费表'!F30)&gt;100000,12%,7%)))</f>
        <v>7.0000000000000007E-2</v>
      </c>
      <c r="G31" s="652"/>
      <c r="H31" s="929"/>
      <c r="I31" s="930"/>
      <c r="J31" s="931"/>
      <c r="K31" s="932"/>
      <c r="L31" s="933"/>
      <c r="M31" s="934"/>
    </row>
    <row r="32" spans="1:37" ht="18" customHeight="1">
      <c r="A32" s="253" t="s">
        <v>1976</v>
      </c>
      <c r="B32" s="235" t="s">
        <v>2058</v>
      </c>
      <c r="C32" s="13" t="str">
        <f>IF(项目基本情况!B7="自然人","——",ROUND(C6*F32/(1+'数据-取费表'!F30),0))</f>
        <v>——</v>
      </c>
      <c r="D32" s="1299" t="s">
        <v>2665</v>
      </c>
      <c r="E32" s="235" t="s">
        <v>2008</v>
      </c>
      <c r="F32" s="267">
        <f>'数据-取费表'!E29</f>
        <v>5.6000000000000001E-2</v>
      </c>
      <c r="G32" s="652"/>
      <c r="H32" s="935"/>
      <c r="I32" s="936"/>
      <c r="J32" s="937"/>
      <c r="K32" s="938"/>
      <c r="L32" s="939"/>
      <c r="M32" s="940"/>
    </row>
    <row r="33" spans="1:18" ht="18" customHeight="1">
      <c r="A33" s="253" t="s">
        <v>1980</v>
      </c>
      <c r="B33" s="235" t="s">
        <v>2004</v>
      </c>
      <c r="C33" s="13" t="str">
        <f>IF(项目基本情况!B7="自然人","——",IF(D33="按租金收入计税",ROUND(C6*F33/(1+'数据-取费表'!F30),0),IF(D33="按房产原值计税",ROUND(C29*F33*0.7,0),'数据-取费表'!B44)))</f>
        <v>——</v>
      </c>
      <c r="D33" s="1404" t="s">
        <v>2826</v>
      </c>
      <c r="E33" s="235" t="s">
        <v>1983</v>
      </c>
      <c r="F33" s="258">
        <f>IF(D33="按票据","——",IF(D33="按租金收入计税",'数据-取费表'!E39,'数据-取费表'!E38))</f>
        <v>0.12</v>
      </c>
      <c r="G33" s="652"/>
      <c r="H33" s="941"/>
      <c r="I33" s="278" t="s">
        <v>2060</v>
      </c>
      <c r="J33" s="279"/>
      <c r="K33" s="942"/>
      <c r="L33" s="941"/>
      <c r="M33" s="941"/>
    </row>
    <row r="34" spans="1:18" ht="18" customHeight="1">
      <c r="A34" s="1055" t="s">
        <v>1986</v>
      </c>
      <c r="B34" s="36" t="s">
        <v>2009</v>
      </c>
      <c r="C34" s="14" t="str">
        <f>IF(项目基本情况!B7="自然人","——",ROUND(F34*F35,0))</f>
        <v>——</v>
      </c>
      <c r="D34" s="261" t="s">
        <v>2010</v>
      </c>
      <c r="E34" s="235" t="s">
        <v>2011</v>
      </c>
      <c r="F34" s="262">
        <f>'数据-取费表'!E40</f>
        <v>0</v>
      </c>
      <c r="G34" s="652"/>
      <c r="H34" s="929"/>
      <c r="I34" s="280" t="s">
        <v>2061</v>
      </c>
      <c r="J34" s="281">
        <f ca="1">ROUND(C13*J35,0)</f>
        <v>101038</v>
      </c>
      <c r="K34" s="943"/>
      <c r="L34" s="944"/>
      <c r="M34" s="944"/>
    </row>
    <row r="35" spans="1:18" ht="24.6" customHeight="1">
      <c r="A35" s="1059"/>
      <c r="B35" s="244"/>
      <c r="C35" s="17"/>
      <c r="D35" s="264"/>
      <c r="E35" s="235" t="s">
        <v>2016</v>
      </c>
      <c r="F35" s="236">
        <f>IF(D1="仅计算典型户型",'数据-取费表'!E6,'数据-取费表'!B6)</f>
        <v>0</v>
      </c>
      <c r="G35" s="652" t="s">
        <v>2754</v>
      </c>
      <c r="H35" s="929"/>
      <c r="I35" s="282" t="s">
        <v>2062</v>
      </c>
      <c r="J35" s="283">
        <f>'数据-取费表'!B18</f>
        <v>0.09</v>
      </c>
      <c r="K35" s="942"/>
      <c r="L35" s="941"/>
      <c r="M35" s="941"/>
    </row>
    <row r="36" spans="1:18" ht="18" customHeight="1">
      <c r="A36" s="1058" t="s">
        <v>1964</v>
      </c>
      <c r="B36" s="235" t="s">
        <v>2063</v>
      </c>
      <c r="C36" s="13">
        <f ca="1">ROUND(C29*F36,0)</f>
        <v>22453</v>
      </c>
      <c r="D36" s="1299" t="s">
        <v>2064</v>
      </c>
      <c r="E36" s="235" t="s">
        <v>2008</v>
      </c>
      <c r="F36" s="265">
        <f>'数据-取费表'!B45</f>
        <v>1.4999999999999999E-2</v>
      </c>
      <c r="G36" s="652"/>
      <c r="H36" s="941"/>
      <c r="I36" s="284" t="s">
        <v>2065</v>
      </c>
      <c r="J36" s="285"/>
      <c r="K36" s="945"/>
      <c r="L36" s="941"/>
      <c r="M36" s="941"/>
    </row>
    <row r="37" spans="1:18" ht="18" customHeight="1">
      <c r="A37" s="253" t="s">
        <v>2012</v>
      </c>
      <c r="B37" s="235" t="s">
        <v>2023</v>
      </c>
      <c r="C37" s="13">
        <f ca="1">ROUND(C13*F37,0)</f>
        <v>1684</v>
      </c>
      <c r="D37" s="1299" t="s">
        <v>2024</v>
      </c>
      <c r="E37" s="235" t="s">
        <v>2025</v>
      </c>
      <c r="F37" s="266">
        <f>'数据-取费表'!B46</f>
        <v>1.5E-3</v>
      </c>
      <c r="G37" s="652"/>
      <c r="H37" s="941"/>
      <c r="I37" s="132" t="s">
        <v>2066</v>
      </c>
      <c r="J37" s="286"/>
      <c r="K37" s="945"/>
      <c r="L37" s="941"/>
      <c r="M37" s="941"/>
    </row>
    <row r="38" spans="1:18" ht="18" customHeight="1" thickBot="1">
      <c r="A38" s="1071" t="s">
        <v>2017</v>
      </c>
      <c r="B38" s="1072" t="s">
        <v>2006</v>
      </c>
      <c r="C38" s="1073">
        <f ca="1">ROUND(C5*F38,0)</f>
        <v>3337</v>
      </c>
      <c r="D38" s="1074" t="s">
        <v>2029</v>
      </c>
      <c r="E38" s="1072" t="s">
        <v>2025</v>
      </c>
      <c r="F38" s="1067">
        <f>'数据-取费表'!B47</f>
        <v>0.01</v>
      </c>
      <c r="G38" s="652"/>
      <c r="H38" s="941"/>
      <c r="I38" s="280" t="s">
        <v>2067</v>
      </c>
      <c r="J38" s="136">
        <f ca="1">ROUND(J34/C39,3)</f>
        <v>0.35599999999999998</v>
      </c>
      <c r="K38" s="946"/>
      <c r="L38" s="941"/>
      <c r="M38" s="941"/>
    </row>
    <row r="39" spans="1:18" ht="18" customHeight="1" thickTop="1">
      <c r="A39" s="1061" t="s">
        <v>22</v>
      </c>
      <c r="B39" s="1076" t="s">
        <v>2068</v>
      </c>
      <c r="C39" s="243">
        <f ca="1">C5-C30</f>
        <v>284014</v>
      </c>
      <c r="D39" s="1077" t="s">
        <v>2069</v>
      </c>
      <c r="E39" s="1078"/>
      <c r="F39" s="1079"/>
      <c r="G39" s="652"/>
      <c r="H39" s="941"/>
      <c r="I39" s="280" t="s">
        <v>2070</v>
      </c>
      <c r="J39" s="136">
        <f ca="1">1-J38</f>
        <v>0.64400000000000002</v>
      </c>
      <c r="K39" s="946"/>
      <c r="L39" s="941"/>
      <c r="M39" s="941"/>
    </row>
    <row r="40" spans="1:18" s="652" customFormat="1" ht="18" customHeight="1">
      <c r="A40" s="232" t="s">
        <v>23</v>
      </c>
      <c r="B40" s="233" t="s">
        <v>2071</v>
      </c>
      <c r="C40" s="234">
        <f ca="1">ROUND(C39*(1-((1+F42)/(1+F40))^F41)/(F40-F42),0)</f>
        <v>6211867</v>
      </c>
      <c r="D40" s="261" t="s">
        <v>2039</v>
      </c>
      <c r="E40" s="235" t="s">
        <v>2040</v>
      </c>
      <c r="F40" s="245">
        <f>'数据-取费表'!B16</f>
        <v>5.5E-2</v>
      </c>
      <c r="H40" s="947"/>
      <c r="I40" s="132" t="s">
        <v>2072</v>
      </c>
      <c r="J40" s="133"/>
      <c r="K40" s="946"/>
      <c r="L40" s="947"/>
      <c r="M40" s="947"/>
      <c r="Q40" s="656"/>
    </row>
    <row r="41" spans="1:18" s="652" customFormat="1" ht="18" customHeight="1">
      <c r="A41" s="237"/>
      <c r="B41" s="238"/>
      <c r="C41" s="239"/>
      <c r="D41" s="269" t="s">
        <v>2073</v>
      </c>
      <c r="E41" s="1272" t="s">
        <v>3010</v>
      </c>
      <c r="F41" s="270">
        <f>IF('数据-取费表'!B29="租赁期内按合同租金",'数据-取费表'!B35,IF(E41="收益年期(n)",'数据-取费表'!B34,'数据-取费表'!B13))</f>
        <v>33</v>
      </c>
      <c r="H41" s="948"/>
      <c r="I41" s="135" t="s">
        <v>1945</v>
      </c>
      <c r="J41" s="136">
        <f ca="1">ROUND(C13/C40,3)</f>
        <v>0.18099999999999999</v>
      </c>
      <c r="K41" s="945"/>
      <c r="L41" s="948"/>
      <c r="M41" s="948"/>
      <c r="Q41" s="656"/>
    </row>
    <row r="42" spans="1:18" s="652" customFormat="1" ht="18" customHeight="1">
      <c r="A42" s="241"/>
      <c r="B42" s="242"/>
      <c r="C42" s="243"/>
      <c r="D42" s="264"/>
      <c r="E42" s="235" t="s">
        <v>2049</v>
      </c>
      <c r="F42" s="245">
        <f>'数据-取费表'!B32</f>
        <v>0.03</v>
      </c>
      <c r="H42" s="948"/>
      <c r="I42" s="135" t="s">
        <v>1946</v>
      </c>
      <c r="J42" s="137">
        <f ca="1">1-J41</f>
        <v>0.81899999999999995</v>
      </c>
      <c r="K42" s="945"/>
      <c r="L42" s="948"/>
      <c r="M42" s="948"/>
      <c r="Q42" s="656"/>
    </row>
    <row r="43" spans="1:18" s="652" customFormat="1" ht="18" customHeight="1" thickBot="1">
      <c r="A43" s="271" t="s">
        <v>24</v>
      </c>
      <c r="B43" s="272" t="s">
        <v>2074</v>
      </c>
      <c r="C43" s="273">
        <f ca="1">ROUND(C40/F43,0)</f>
        <v>23946</v>
      </c>
      <c r="D43" s="274" t="s">
        <v>2075</v>
      </c>
      <c r="E43" s="275" t="s">
        <v>2076</v>
      </c>
      <c r="F43" s="276">
        <f>IF(D1="仅计算典型户型",'数据-取费表'!E5,'数据-取费表'!B5)</f>
        <v>259.41000000000003</v>
      </c>
      <c r="G43" s="654"/>
      <c r="H43" s="948"/>
      <c r="I43" s="948"/>
      <c r="J43" s="948"/>
      <c r="K43" s="945"/>
      <c r="L43" s="948"/>
      <c r="M43" s="948"/>
      <c r="O43" s="1039" t="s">
        <v>2077</v>
      </c>
      <c r="P43" s="1040"/>
      <c r="Q43" s="1036"/>
      <c r="R43" s="1040"/>
    </row>
    <row r="44" spans="1:18" s="652" customFormat="1" ht="18" customHeight="1" thickBot="1">
      <c r="A44" s="649"/>
      <c r="B44" s="649"/>
      <c r="C44" s="651"/>
      <c r="D44" s="649"/>
      <c r="E44" s="649"/>
      <c r="F44" s="649"/>
      <c r="G44" s="654"/>
      <c r="K44" s="653"/>
      <c r="O44" s="1041" t="s">
        <v>2078</v>
      </c>
      <c r="P44" s="1042" t="s">
        <v>2079</v>
      </c>
      <c r="Q44" s="1043" t="s">
        <v>2080</v>
      </c>
      <c r="R44" s="1044" t="s">
        <v>2081</v>
      </c>
    </row>
    <row r="45" spans="1:18" s="652" customFormat="1" ht="18" customHeight="1" thickBot="1">
      <c r="A45" s="649"/>
      <c r="B45" s="649"/>
      <c r="C45" s="651"/>
      <c r="D45" s="649"/>
      <c r="E45" s="649"/>
      <c r="F45" s="649"/>
      <c r="G45" s="655"/>
      <c r="K45" s="653"/>
      <c r="O45" s="1045" t="s">
        <v>949</v>
      </c>
      <c r="P45" s="1046" t="s">
        <v>2082</v>
      </c>
      <c r="Q45" s="1047">
        <f ca="1">C40+J29</f>
        <v>6211867</v>
      </c>
      <c r="R45" s="1048" t="s">
        <v>2083</v>
      </c>
    </row>
    <row r="46" spans="1:18" s="652" customFormat="1" ht="18" customHeight="1" thickBot="1">
      <c r="A46" s="649"/>
      <c r="D46" s="649"/>
      <c r="E46" s="649"/>
      <c r="F46" s="649"/>
      <c r="K46" s="653"/>
      <c r="O46" s="1045" t="s">
        <v>950</v>
      </c>
      <c r="P46" s="1046" t="s">
        <v>2084</v>
      </c>
      <c r="Q46" s="1047" t="str">
        <f>J61</f>
        <v>0</v>
      </c>
      <c r="R46" s="1048" t="s">
        <v>2085</v>
      </c>
    </row>
    <row r="47" spans="1:18" s="652" customFormat="1" ht="21.75" thickBot="1">
      <c r="A47" s="1495" t="s">
        <v>2086</v>
      </c>
      <c r="C47" s="990">
        <f ca="1">IF(C2="元",C69-C40,ROUND((C69-C40)/10000,0))</f>
        <v>-6575734</v>
      </c>
      <c r="D47" s="1496" t="str">
        <f>C2</f>
        <v>元</v>
      </c>
      <c r="E47" s="649"/>
      <c r="F47" s="649"/>
      <c r="I47" s="1497" t="s">
        <v>2087</v>
      </c>
      <c r="J47" s="1021"/>
      <c r="K47" s="1022"/>
      <c r="L47" s="1035" t="str">
        <f>IF(M48="住宅",0,IF(L49&gt;J52,L61,J61))</f>
        <v>0</v>
      </c>
      <c r="O47" s="1049" t="s">
        <v>951</v>
      </c>
      <c r="P47" s="1046" t="s">
        <v>2088</v>
      </c>
      <c r="Q47" s="1047">
        <f ca="1">C29</f>
        <v>1496864</v>
      </c>
      <c r="R47" s="1048" t="s">
        <v>2083</v>
      </c>
    </row>
    <row r="48" spans="1:18" s="652" customFormat="1" ht="15.75" thickBot="1">
      <c r="A48" s="228" t="s">
        <v>2089</v>
      </c>
      <c r="B48" s="229" t="s">
        <v>2090</v>
      </c>
      <c r="C48" s="229" t="s">
        <v>2091</v>
      </c>
      <c r="D48" s="229" t="s">
        <v>2092</v>
      </c>
      <c r="E48" s="984" t="s">
        <v>2093</v>
      </c>
      <c r="F48" s="985"/>
      <c r="I48" s="1498" t="s">
        <v>2094</v>
      </c>
      <c r="J48" s="1499" t="s">
        <v>2989</v>
      </c>
      <c r="K48" s="1500" t="s">
        <v>2095</v>
      </c>
      <c r="L48" s="1023">
        <f>'数据-取费表'!B11</f>
        <v>50</v>
      </c>
      <c r="M48" s="1036" t="str">
        <f>IF('数据-取费表'!B10="住宅","住宅","非住宅")</f>
        <v>非住宅</v>
      </c>
      <c r="O48" s="1049" t="s">
        <v>952</v>
      </c>
      <c r="P48" s="1046" t="s">
        <v>2096</v>
      </c>
      <c r="Q48" s="1050" t="e">
        <f>J59</f>
        <v>#VALUE!</v>
      </c>
      <c r="R48" s="1048"/>
    </row>
    <row r="49" spans="1:18" s="652" customFormat="1" ht="15.75" thickBot="1">
      <c r="A49" s="1096" t="s">
        <v>963</v>
      </c>
      <c r="B49" s="233" t="s">
        <v>2097</v>
      </c>
      <c r="C49" s="1097">
        <f ca="1">C50+C54+C56</f>
        <v>0</v>
      </c>
      <c r="D49" s="1098"/>
      <c r="E49" s="44"/>
      <c r="F49" s="15"/>
      <c r="I49" s="1501" t="s">
        <v>2098</v>
      </c>
      <c r="J49" s="1502" t="s">
        <v>2990</v>
      </c>
      <c r="K49" s="1503" t="s">
        <v>2099</v>
      </c>
      <c r="L49" s="863">
        <f>'数据-取费表'!B13</f>
        <v>33</v>
      </c>
      <c r="O49" s="1049" t="s">
        <v>953</v>
      </c>
      <c r="P49" s="1046" t="s">
        <v>2100</v>
      </c>
      <c r="Q49" s="1050">
        <f>J53</f>
        <v>0</v>
      </c>
      <c r="R49" s="1048"/>
    </row>
    <row r="50" spans="1:18" s="652" customFormat="1" ht="15.75" thickBot="1">
      <c r="A50" s="260" t="s">
        <v>1957</v>
      </c>
      <c r="B50" s="1410" t="s">
        <v>2101</v>
      </c>
      <c r="C50" s="234">
        <f>ROUND(F50*F52*F51*(1-F53),0)</f>
        <v>0</v>
      </c>
      <c r="D50" s="42" t="s">
        <v>2642</v>
      </c>
      <c r="E50" s="1504" t="s">
        <v>2102</v>
      </c>
      <c r="F50" s="986"/>
      <c r="I50" s="1501" t="s">
        <v>2103</v>
      </c>
      <c r="J50" s="863">
        <f>'数据-取费表'!B27</f>
        <v>2007</v>
      </c>
      <c r="K50" s="1505" t="s">
        <v>2104</v>
      </c>
      <c r="L50" s="1024"/>
      <c r="O50" s="1049" t="s">
        <v>954</v>
      </c>
      <c r="P50" s="1046" t="s">
        <v>2105</v>
      </c>
      <c r="Q50" s="1047">
        <f>J54</f>
        <v>33</v>
      </c>
      <c r="R50" s="1048" t="s">
        <v>2106</v>
      </c>
    </row>
    <row r="51" spans="1:18" s="652" customFormat="1" ht="15.75" thickBot="1">
      <c r="A51" s="237"/>
      <c r="B51" s="238"/>
      <c r="C51" s="239"/>
      <c r="D51" s="240"/>
      <c r="E51" s="255" t="s">
        <v>1960</v>
      </c>
      <c r="F51" s="983">
        <f>F7</f>
        <v>259.41000000000003</v>
      </c>
      <c r="I51" s="1501" t="s">
        <v>2107</v>
      </c>
      <c r="J51" s="1025">
        <f>SUMPRODUCT((I64:I66=J48)*(J63:L63=J49)*(J64:L66))</f>
        <v>60</v>
      </c>
      <c r="K51" s="1505" t="s">
        <v>2108</v>
      </c>
      <c r="L51" s="1024"/>
      <c r="O51" s="1045" t="s">
        <v>955</v>
      </c>
      <c r="P51" s="1046" t="str">
        <f>IF(C2="元","收益价值(元)","收益价值(万元)")</f>
        <v>收益价值(元)</v>
      </c>
      <c r="Q51" s="1047">
        <f ca="1">ROUND(IF(C2="元",Q45+Q46,(Q45+Q46)/10000),0)</f>
        <v>6211867</v>
      </c>
      <c r="R51" s="1048" t="s">
        <v>956</v>
      </c>
    </row>
    <row r="52" spans="1:18" s="652" customFormat="1" ht="16.5" thickBot="1">
      <c r="A52" s="237"/>
      <c r="B52" s="238"/>
      <c r="C52" s="239"/>
      <c r="D52" s="240"/>
      <c r="E52" s="235" t="s">
        <v>1962</v>
      </c>
      <c r="F52" s="236">
        <f>F8</f>
        <v>365</v>
      </c>
      <c r="I52" s="1506" t="s">
        <v>2109</v>
      </c>
      <c r="J52" s="1026">
        <f>IF(J50="",J51,J50+J51-YEAR('数据-取费表'!B2))</f>
        <v>45</v>
      </c>
      <c r="K52" s="1507" t="s">
        <v>2110</v>
      </c>
      <c r="L52" s="1027">
        <f ca="1">ROUND(-PV('数据-取费表'!B15,J52,(C40-C13*J35)),0)</f>
        <v>108614296</v>
      </c>
      <c r="O52" s="1039" t="s">
        <v>2111</v>
      </c>
      <c r="P52" s="1040"/>
      <c r="Q52" s="1036"/>
      <c r="R52" s="1040"/>
    </row>
    <row r="53" spans="1:18" s="652" customFormat="1" ht="15.75" thickBot="1">
      <c r="A53" s="241"/>
      <c r="B53" s="242"/>
      <c r="C53" s="243"/>
      <c r="D53" s="244"/>
      <c r="E53" s="235" t="s">
        <v>1963</v>
      </c>
      <c r="F53" s="1034"/>
      <c r="I53" s="1508" t="s">
        <v>2112</v>
      </c>
      <c r="J53" s="1028"/>
      <c r="K53" s="1508" t="s">
        <v>2113</v>
      </c>
      <c r="L53" s="1028"/>
      <c r="O53" s="1041" t="s">
        <v>2078</v>
      </c>
      <c r="P53" s="1042" t="s">
        <v>2079</v>
      </c>
      <c r="Q53" s="1043" t="s">
        <v>2080</v>
      </c>
      <c r="R53" s="1044" t="s">
        <v>2081</v>
      </c>
    </row>
    <row r="54" spans="1:18" s="652" customFormat="1" ht="29.25" customHeight="1" thickBot="1">
      <c r="A54" s="1055" t="s">
        <v>1964</v>
      </c>
      <c r="B54" s="1489" t="s">
        <v>1965</v>
      </c>
      <c r="C54" s="1056">
        <f ca="1">ROUND(IF(F54="押一",C50/12*F11,IF(F54="押二",C50/12*2*F11,IF(F54="押三",C50/12*3*F11,C55*F11))),0)</f>
        <v>0</v>
      </c>
      <c r="D54" s="1490" t="s">
        <v>2648</v>
      </c>
      <c r="E54" s="246" t="s">
        <v>1966</v>
      </c>
      <c r="F54" s="1491"/>
      <c r="I54" s="1597" t="s">
        <v>2650</v>
      </c>
      <c r="J54" s="1029">
        <f>IF(M48="住宅",IF(E1="——",MAX(J52,L49),MAX(J52,L49-'数据-取费表'!B26)),IF(E1="——",MIN(J52,L49),MIN(J52,L49-'数据-取费表'!B26)))</f>
        <v>33</v>
      </c>
      <c r="K54" s="3578" t="s">
        <v>2640</v>
      </c>
      <c r="L54" s="3579"/>
      <c r="O54" s="1045" t="s">
        <v>949</v>
      </c>
      <c r="P54" s="1046" t="s">
        <v>2082</v>
      </c>
      <c r="Q54" s="1047">
        <f ca="1">C40+J29</f>
        <v>6211867</v>
      </c>
      <c r="R54" s="1048" t="s">
        <v>2083</v>
      </c>
    </row>
    <row r="55" spans="1:18" s="652" customFormat="1" ht="20.25" thickBot="1">
      <c r="A55" s="1055"/>
      <c r="B55" s="1509" t="s">
        <v>1970</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2114</v>
      </c>
      <c r="Q55" s="1047">
        <f>L61</f>
        <v>0</v>
      </c>
      <c r="R55" s="1048" t="s">
        <v>2115</v>
      </c>
    </row>
    <row r="56" spans="1:18" s="652" customFormat="1" ht="20.25" thickBot="1">
      <c r="A56" s="1065" t="s">
        <v>1971</v>
      </c>
      <c r="B56" s="1493" t="s">
        <v>1972</v>
      </c>
      <c r="C56" s="1066"/>
      <c r="D56" s="1082"/>
      <c r="E56" s="1512"/>
      <c r="F56" s="1121"/>
      <c r="I56" s="1513" t="s">
        <v>2116</v>
      </c>
      <c r="J56" s="1288" t="e">
        <f>ROUND(IF(J48="钢混",J58/J51,1-(1-2%)*(J51-J58)/J51),3)</f>
        <v>#VALUE!</v>
      </c>
      <c r="K56" s="1514" t="s">
        <v>2117</v>
      </c>
      <c r="L56" s="1030"/>
      <c r="O56" s="1049" t="s">
        <v>951</v>
      </c>
      <c r="P56" s="1046" t="s">
        <v>2118</v>
      </c>
      <c r="Q56" s="1047">
        <f>IF(L56="比较法",L50,IF(L56="基准地价",L51,0))</f>
        <v>0</v>
      </c>
      <c r="R56" s="1048" t="s">
        <v>2083</v>
      </c>
    </row>
    <row r="57" spans="1:18" s="652" customFormat="1" ht="44.25" thickTop="1" thickBot="1">
      <c r="A57" s="1061">
        <v>2</v>
      </c>
      <c r="B57" s="1062" t="s">
        <v>1973</v>
      </c>
      <c r="C57" s="1120">
        <f ca="1">C13</f>
        <v>1122648</v>
      </c>
      <c r="D57" s="981"/>
      <c r="E57" s="982"/>
      <c r="F57" s="989"/>
      <c r="I57" s="1515" t="s">
        <v>2119</v>
      </c>
      <c r="J57" s="1033" t="s">
        <v>2991</v>
      </c>
      <c r="K57" s="1501" t="s">
        <v>2120</v>
      </c>
      <c r="L57" s="863" t="str">
        <f>IF(L49&lt;J52,"——",L49-J52)</f>
        <v>——</v>
      </c>
      <c r="O57" s="1049" t="s">
        <v>952</v>
      </c>
      <c r="P57" s="1046" t="s">
        <v>2121</v>
      </c>
      <c r="Q57" s="1050">
        <f>L53</f>
        <v>0</v>
      </c>
      <c r="R57" s="1048"/>
    </row>
    <row r="58" spans="1:18" s="652" customFormat="1" ht="29.25" thickBot="1">
      <c r="A58" s="988"/>
      <c r="B58" s="235" t="s">
        <v>2051</v>
      </c>
      <c r="C58" s="104">
        <f ca="1">C29</f>
        <v>1496864</v>
      </c>
      <c r="D58" s="981"/>
      <c r="E58" s="982"/>
      <c r="F58" s="989"/>
      <c r="I58" s="1516" t="s">
        <v>2122</v>
      </c>
      <c r="J58" s="1032" t="str">
        <f>IF(OR(M48="住宅",J52&lt;L49,J57="是"),"——",J52-L49)</f>
        <v>——</v>
      </c>
      <c r="K58" s="1501" t="s">
        <v>2123</v>
      </c>
      <c r="L58" s="863" t="str">
        <f>IF(L49&lt;J52,"——",IF(L56="比较法",L50,IF(L56="基准地价",L51,L52)))</f>
        <v>——</v>
      </c>
      <c r="O58" s="1049" t="s">
        <v>953</v>
      </c>
      <c r="P58" s="1046" t="s">
        <v>2124</v>
      </c>
      <c r="Q58" s="1047" t="e">
        <f>L59</f>
        <v>#DIV/0!</v>
      </c>
      <c r="R58" s="1048" t="s">
        <v>2125</v>
      </c>
    </row>
    <row r="59" spans="1:18" s="652" customFormat="1" ht="29.25" thickBot="1">
      <c r="A59" s="248" t="s">
        <v>14</v>
      </c>
      <c r="B59" s="249" t="s">
        <v>2054</v>
      </c>
      <c r="C59" s="250">
        <f ca="1">ROUND(C60+C65+C66+C67,0)</f>
        <v>24137</v>
      </c>
      <c r="D59" s="12" t="s">
        <v>2055</v>
      </c>
      <c r="E59" s="1301"/>
      <c r="F59" s="15"/>
      <c r="I59" s="1516" t="s">
        <v>2126</v>
      </c>
      <c r="J59" s="1287" t="e">
        <f>IF(J56&lt;0.4,0.4,J56)</f>
        <v>#VALUE!</v>
      </c>
      <c r="K59" s="1507" t="s">
        <v>2127</v>
      </c>
      <c r="L59" s="863" t="e">
        <f>ROUND(POWER(1+L53,L48-L49)*(POWER(1+L53,L49)-1)/(POWER(1+L53,L48)-1),4)</f>
        <v>#DIV/0!</v>
      </c>
      <c r="O59" s="1049" t="s">
        <v>954</v>
      </c>
      <c r="P59" s="1046" t="str">
        <f>K60</f>
        <v>建筑物剩余耐用年限下的土地年期修正系数Kn</v>
      </c>
      <c r="Q59" s="1047" t="e">
        <f>L60</f>
        <v>#DIV/0!</v>
      </c>
      <c r="R59" s="1048" t="s">
        <v>2128</v>
      </c>
    </row>
    <row r="60" spans="1:18" s="652" customFormat="1" ht="29.25" thickBot="1">
      <c r="A60" s="253" t="s">
        <v>15</v>
      </c>
      <c r="B60" s="235" t="s">
        <v>1995</v>
      </c>
      <c r="C60" s="2794">
        <f>ROUND(IF(AND(项目基本情况!B7="自然人",项目基本情况!B6="北京市"),C50*F60/(1+'数据-取费表'!F30),C61+C62+C63),0)</f>
        <v>0</v>
      </c>
      <c r="D60" s="1296" t="s">
        <v>2056</v>
      </c>
      <c r="E60" s="1299" t="s">
        <v>2057</v>
      </c>
      <c r="F60" s="2793">
        <f>IF(项目基本情况!B7="企业","——",IF('数据-取费表'!B10="住宅",IF(F50*F51*F52/12/(1+'数据-取费表'!F30)&gt;100000,4%,2.5%),IF(F50*F51*F52/12/(1+'数据-取费表'!F30)&gt;100000,12%,7%)))</f>
        <v>7.0000000000000007E-2</v>
      </c>
      <c r="I60" s="1516" t="s">
        <v>2129</v>
      </c>
      <c r="J60" s="1032"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收益价值(元)</v>
      </c>
      <c r="Q60" s="1047">
        <f ca="1">ROUND(IF(C2="元",Q54+Q55,(Q54+Q55)/10000),0)</f>
        <v>6211867</v>
      </c>
      <c r="R60" s="1048" t="s">
        <v>956</v>
      </c>
    </row>
    <row r="61" spans="1:18" s="652" customFormat="1" ht="16.5" thickBot="1">
      <c r="A61" s="253" t="s">
        <v>16</v>
      </c>
      <c r="B61" s="235" t="s">
        <v>2058</v>
      </c>
      <c r="C61" s="13" t="str">
        <f>IF(项目基本情况!B7="自然人","——",ROUND(C49*F61/(1+'数据-取费表'!F30),0))</f>
        <v>——</v>
      </c>
      <c r="D61" s="1299" t="s">
        <v>2059</v>
      </c>
      <c r="E61" s="235" t="s">
        <v>2008</v>
      </c>
      <c r="F61" s="267">
        <f t="shared" ref="F61:F67" si="0">F32</f>
        <v>5.6000000000000001E-2</v>
      </c>
      <c r="I61" s="1517" t="s">
        <v>2130</v>
      </c>
      <c r="J61" s="1031" t="str">
        <f>IF(OR(M48="住宅",J52&lt;L49,J57="是"),"0",ROUND(J60/(1+J53)^J54,0))</f>
        <v>0</v>
      </c>
      <c r="K61" s="1518" t="s">
        <v>2131</v>
      </c>
      <c r="L61" s="1031">
        <f>IF(OR(M48="住宅",L49&lt;J52),0,ROUND(L58*(L59/L60-1),0))</f>
        <v>0</v>
      </c>
      <c r="O61" s="1039" t="s">
        <v>2132</v>
      </c>
      <c r="P61" s="1040"/>
      <c r="Q61" s="1036"/>
      <c r="R61" s="1040"/>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4" t="s">
        <v>2005</v>
      </c>
      <c r="E62" s="235" t="s">
        <v>2008</v>
      </c>
      <c r="F62" s="258">
        <f t="shared" si="0"/>
        <v>0.12</v>
      </c>
      <c r="O62" s="1041" t="s">
        <v>2078</v>
      </c>
      <c r="P62" s="1042" t="s">
        <v>2079</v>
      </c>
      <c r="Q62" s="1043" t="s">
        <v>2080</v>
      </c>
      <c r="R62" s="1044" t="s">
        <v>2081</v>
      </c>
    </row>
    <row r="63" spans="1:18" s="652" customFormat="1" ht="15.75" thickBot="1">
      <c r="A63" s="260" t="s">
        <v>18</v>
      </c>
      <c r="B63" s="36" t="s">
        <v>2134</v>
      </c>
      <c r="C63" s="14" t="str">
        <f>IF(项目基本情况!B7="自然人","——",ROUND(F63*F64,0))</f>
        <v>——</v>
      </c>
      <c r="D63" s="261" t="s">
        <v>2135</v>
      </c>
      <c r="E63" s="235" t="s">
        <v>2136</v>
      </c>
      <c r="F63" s="262">
        <f t="shared" si="0"/>
        <v>0</v>
      </c>
      <c r="I63" s="1519" t="s">
        <v>2137</v>
      </c>
      <c r="J63" s="1291" t="s">
        <v>2138</v>
      </c>
      <c r="K63" s="1291" t="s">
        <v>2139</v>
      </c>
      <c r="L63" s="1291" t="s">
        <v>2140</v>
      </c>
      <c r="M63" s="1290" t="s">
        <v>2141</v>
      </c>
      <c r="O63" s="1045" t="s">
        <v>949</v>
      </c>
      <c r="P63" s="1046" t="s">
        <v>2082</v>
      </c>
      <c r="Q63" s="1047">
        <f ca="1">C40+J29</f>
        <v>6211867</v>
      </c>
      <c r="R63" s="1048" t="s">
        <v>2083</v>
      </c>
    </row>
    <row r="64" spans="1:18" s="652" customFormat="1" ht="20.25" thickBot="1">
      <c r="A64" s="263"/>
      <c r="B64" s="244"/>
      <c r="C64" s="17"/>
      <c r="D64" s="264"/>
      <c r="E64" s="235" t="s">
        <v>2142</v>
      </c>
      <c r="F64" s="236">
        <f t="shared" si="0"/>
        <v>0</v>
      </c>
      <c r="I64" s="1519" t="s">
        <v>2143</v>
      </c>
      <c r="J64" s="1291">
        <v>70</v>
      </c>
      <c r="K64" s="1291">
        <v>50</v>
      </c>
      <c r="L64" s="1291">
        <v>80</v>
      </c>
      <c r="M64" s="1289">
        <v>0.02</v>
      </c>
      <c r="O64" s="1045" t="s">
        <v>950</v>
      </c>
      <c r="P64" s="1046" t="s">
        <v>2114</v>
      </c>
      <c r="Q64" s="1047">
        <f>L61</f>
        <v>0</v>
      </c>
      <c r="R64" s="1048" t="s">
        <v>2115</v>
      </c>
    </row>
    <row r="65" spans="1:18" s="652" customFormat="1" ht="23.25" thickBot="1">
      <c r="A65" s="253" t="s">
        <v>19</v>
      </c>
      <c r="B65" s="235" t="s">
        <v>2063</v>
      </c>
      <c r="C65" s="13">
        <f ca="1">ROUND(C58*F65,0)</f>
        <v>22453</v>
      </c>
      <c r="D65" s="1299" t="s">
        <v>2064</v>
      </c>
      <c r="E65" s="235" t="s">
        <v>2008</v>
      </c>
      <c r="F65" s="265">
        <f t="shared" si="0"/>
        <v>1.4999999999999999E-2</v>
      </c>
      <c r="I65" s="1519" t="s">
        <v>2144</v>
      </c>
      <c r="J65" s="1291">
        <v>50</v>
      </c>
      <c r="K65" s="1291">
        <v>35</v>
      </c>
      <c r="L65" s="1291">
        <v>60</v>
      </c>
      <c r="M65" s="1290">
        <v>0</v>
      </c>
      <c r="O65" s="1049" t="s">
        <v>951</v>
      </c>
      <c r="P65" s="1046" t="s">
        <v>2118</v>
      </c>
      <c r="Q65" s="1051">
        <f ca="1">L52</f>
        <v>108614296</v>
      </c>
      <c r="R65" s="1052" t="s">
        <v>2145</v>
      </c>
    </row>
    <row r="66" spans="1:18" s="652" customFormat="1" ht="20.25" thickBot="1">
      <c r="A66" s="253" t="s">
        <v>20</v>
      </c>
      <c r="B66" s="235" t="s">
        <v>2023</v>
      </c>
      <c r="C66" s="13">
        <f ca="1">ROUND(C57*F66,0)</f>
        <v>1684</v>
      </c>
      <c r="D66" s="1299" t="s">
        <v>2024</v>
      </c>
      <c r="E66" s="235" t="s">
        <v>2025</v>
      </c>
      <c r="F66" s="266">
        <f t="shared" si="0"/>
        <v>1.5E-3</v>
      </c>
      <c r="I66" s="1519" t="s">
        <v>2146</v>
      </c>
      <c r="J66" s="1291">
        <v>40</v>
      </c>
      <c r="K66" s="1291">
        <v>30</v>
      </c>
      <c r="L66" s="1291">
        <v>50</v>
      </c>
      <c r="M66" s="1289">
        <v>0.02</v>
      </c>
      <c r="O66" s="1049" t="s">
        <v>952</v>
      </c>
      <c r="P66" s="1053" t="s">
        <v>2147</v>
      </c>
      <c r="Q66" s="1047">
        <f ca="1">ROUND(Q67-Q68*Q69,0)</f>
        <v>182976</v>
      </c>
      <c r="R66" s="1048"/>
    </row>
    <row r="67" spans="1:18" s="652" customFormat="1" ht="15.75" thickBot="1">
      <c r="A67" s="253" t="s">
        <v>21</v>
      </c>
      <c r="B67" s="235" t="s">
        <v>2006</v>
      </c>
      <c r="C67" s="13">
        <f ca="1">ROUND(C49*F67,0)</f>
        <v>0</v>
      </c>
      <c r="D67" s="1299" t="s">
        <v>2029</v>
      </c>
      <c r="E67" s="235" t="s">
        <v>2025</v>
      </c>
      <c r="F67" s="245">
        <f t="shared" si="0"/>
        <v>0.01</v>
      </c>
      <c r="O67" s="1049" t="s">
        <v>957</v>
      </c>
      <c r="P67" s="1053" t="s">
        <v>2148</v>
      </c>
      <c r="Q67" s="1047">
        <f ca="1">C39</f>
        <v>284014</v>
      </c>
      <c r="R67" s="1048" t="s">
        <v>2083</v>
      </c>
    </row>
    <row r="68" spans="1:18" ht="15.75" thickBot="1">
      <c r="A68" s="248" t="s">
        <v>22</v>
      </c>
      <c r="B68" s="41" t="s">
        <v>2033</v>
      </c>
      <c r="C68" s="250">
        <f ca="1">C49-C59</f>
        <v>-24137</v>
      </c>
      <c r="D68" s="1296" t="s">
        <v>2034</v>
      </c>
      <c r="E68" s="1298"/>
      <c r="F68" s="268"/>
      <c r="H68" s="652"/>
      <c r="I68" s="652"/>
      <c r="J68" s="652"/>
      <c r="K68" s="652"/>
      <c r="L68" s="652"/>
      <c r="M68" s="652"/>
      <c r="O68" s="1049" t="s">
        <v>958</v>
      </c>
      <c r="P68" s="1053" t="s">
        <v>2149</v>
      </c>
      <c r="Q68" s="1047">
        <f ca="1">C13</f>
        <v>1122648</v>
      </c>
      <c r="R68" s="1048" t="s">
        <v>2083</v>
      </c>
    </row>
    <row r="69" spans="1:18" ht="15.75" thickBot="1">
      <c r="A69" s="232" t="s">
        <v>23</v>
      </c>
      <c r="B69" s="233" t="s">
        <v>2071</v>
      </c>
      <c r="C69" s="234">
        <f ca="1">ROUND(C68*(1-((1+F71)/(1+F69))^F70)/(F69-F71),0)</f>
        <v>-363867</v>
      </c>
      <c r="D69" s="261" t="s">
        <v>2039</v>
      </c>
      <c r="E69" s="235" t="s">
        <v>2040</v>
      </c>
      <c r="F69" s="245">
        <f>F40</f>
        <v>5.5E-2</v>
      </c>
      <c r="H69" s="652"/>
      <c r="I69" s="652"/>
      <c r="J69" s="652"/>
      <c r="K69" s="652"/>
      <c r="L69" s="652"/>
      <c r="M69" s="652"/>
      <c r="O69" s="1049" t="s">
        <v>959</v>
      </c>
      <c r="P69" s="1053" t="s">
        <v>2150</v>
      </c>
      <c r="Q69" s="1050">
        <f>J35</f>
        <v>0.09</v>
      </c>
      <c r="R69" s="1048"/>
    </row>
    <row r="70" spans="1:18" ht="15.75" thickBot="1">
      <c r="A70" s="237"/>
      <c r="B70" s="238"/>
      <c r="C70" s="239"/>
      <c r="D70" s="269" t="s">
        <v>2073</v>
      </c>
      <c r="E70" s="235" t="s">
        <v>2045</v>
      </c>
      <c r="F70" s="270">
        <f>F41</f>
        <v>33</v>
      </c>
      <c r="H70" s="652"/>
      <c r="I70" s="652"/>
      <c r="J70" s="652"/>
      <c r="K70" s="652"/>
      <c r="L70" s="652"/>
      <c r="M70" s="652"/>
      <c r="O70" s="1049" t="s">
        <v>953</v>
      </c>
      <c r="P70" s="1046" t="s">
        <v>2121</v>
      </c>
      <c r="Q70" s="1050">
        <f>L53</f>
        <v>0</v>
      </c>
      <c r="R70" s="1048"/>
    </row>
    <row r="71" spans="1:18" ht="20.25" thickBot="1">
      <c r="A71" s="241"/>
      <c r="B71" s="242"/>
      <c r="C71" s="243"/>
      <c r="D71" s="264"/>
      <c r="E71" s="235" t="s">
        <v>2049</v>
      </c>
      <c r="F71" s="1034"/>
      <c r="H71" s="652"/>
      <c r="M71" s="652"/>
      <c r="O71" s="1049" t="s">
        <v>954</v>
      </c>
      <c r="P71" s="1046" t="s">
        <v>2124</v>
      </c>
      <c r="Q71" s="1047" t="e">
        <f>L59</f>
        <v>#DIV/0!</v>
      </c>
      <c r="R71" s="1048" t="s">
        <v>2125</v>
      </c>
    </row>
    <row r="72" spans="1:18" ht="15.75" thickBot="1">
      <c r="A72" s="271" t="s">
        <v>24</v>
      </c>
      <c r="B72" s="272" t="s">
        <v>2074</v>
      </c>
      <c r="C72" s="273">
        <f ca="1">ROUND(C69/F72,0)</f>
        <v>-1403</v>
      </c>
      <c r="D72" s="274" t="s">
        <v>2075</v>
      </c>
      <c r="E72" s="275" t="s">
        <v>2076</v>
      </c>
      <c r="F72" s="276">
        <f>F43</f>
        <v>259.41000000000003</v>
      </c>
      <c r="O72" s="1049" t="s">
        <v>960</v>
      </c>
      <c r="P72" s="1046" t="str">
        <f>K60</f>
        <v>建筑物剩余耐用年限下的土地年期修正系数Kn</v>
      </c>
      <c r="Q72" s="1047" t="e">
        <f>L60</f>
        <v>#DIV/0!</v>
      </c>
      <c r="R72" s="1048" t="s">
        <v>2128</v>
      </c>
    </row>
    <row r="73" spans="1:18" ht="15.75" thickBot="1">
      <c r="A73" s="652"/>
      <c r="B73" s="656"/>
      <c r="C73" s="656"/>
      <c r="D73" s="652"/>
      <c r="E73" s="652"/>
      <c r="F73" s="652"/>
      <c r="O73" s="1045" t="s">
        <v>955</v>
      </c>
      <c r="P73" s="1046" t="str">
        <f>IF(C2="元","收益价值(元)","收益价值(万元)")</f>
        <v>收益价值(元)</v>
      </c>
      <c r="Q73" s="1047">
        <f ca="1">ROUND(IF(C2="元",Q63+Q64,(Q63+Q64)/10000),0)</f>
        <v>6211867</v>
      </c>
      <c r="R73" s="1048"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2974</v>
      </c>
      <c r="B1" s="3132"/>
      <c r="C1" s="3138"/>
      <c r="D1" s="3138"/>
      <c r="E1" s="3133"/>
      <c r="F1" s="3134"/>
      <c r="G1" s="3227"/>
      <c r="J1" s="3230" t="s">
        <v>2830</v>
      </c>
      <c r="K1" s="3231"/>
      <c r="L1" s="3231"/>
      <c r="M1" s="3231"/>
      <c r="N1" s="3231"/>
      <c r="O1" s="3231"/>
      <c r="P1" s="3231"/>
      <c r="Q1" s="3231"/>
      <c r="R1" s="3232"/>
      <c r="S1" s="3233"/>
      <c r="T1" s="3233"/>
      <c r="U1" s="3233"/>
    </row>
    <row r="2" spans="1:23" s="3141" customFormat="1" ht="13.15" customHeight="1">
      <c r="A2" s="3136" t="s">
        <v>2831</v>
      </c>
      <c r="B2" s="3137" t="e">
        <f>C40</f>
        <v>#DIV/0!</v>
      </c>
      <c r="C2" s="3138" t="s">
        <v>2832</v>
      </c>
      <c r="D2" s="3138"/>
      <c r="E2" s="3139"/>
      <c r="F2" s="3140"/>
      <c r="G2" s="3234"/>
      <c r="H2" s="3235"/>
      <c r="I2" s="3236"/>
      <c r="J2" s="3580" t="s">
        <v>2833</v>
      </c>
      <c r="K2" s="3581"/>
      <c r="L2" s="3237" t="s">
        <v>2834</v>
      </c>
      <c r="M2" s="3237" t="s">
        <v>2835</v>
      </c>
      <c r="N2" s="3237" t="s">
        <v>2836</v>
      </c>
      <c r="O2" s="3237" t="s">
        <v>2837</v>
      </c>
      <c r="P2" s="3237" t="s">
        <v>2838</v>
      </c>
      <c r="Q2" s="3238" t="s">
        <v>2839</v>
      </c>
      <c r="R2" s="3239" t="s">
        <v>2840</v>
      </c>
      <c r="S2" s="3233"/>
      <c r="T2" s="3233"/>
      <c r="U2" s="3233"/>
      <c r="V2" s="3236"/>
      <c r="W2" s="3235"/>
    </row>
    <row r="3" spans="1:23" s="3141" customFormat="1" ht="13.15" customHeight="1">
      <c r="A3" s="3143" t="s">
        <v>2841</v>
      </c>
      <c r="B3" s="3144" t="e">
        <f>ROUND(B2*10000/B4,0)</f>
        <v>#DIV/0!</v>
      </c>
      <c r="C3" s="3138" t="s">
        <v>2842</v>
      </c>
      <c r="D3" s="3138"/>
      <c r="E3" s="3139"/>
      <c r="F3" s="3140"/>
      <c r="G3" s="3234"/>
      <c r="H3" s="3235"/>
      <c r="I3" s="3236"/>
      <c r="J3" s="3582" t="s">
        <v>2843</v>
      </c>
      <c r="K3" s="3583"/>
      <c r="L3" s="3240"/>
      <c r="M3" s="3240"/>
      <c r="N3" s="3240"/>
      <c r="O3" s="3240"/>
      <c r="P3" s="3240"/>
      <c r="Q3" s="3241"/>
      <c r="R3" s="3242">
        <f>SUM(L3:Q3)</f>
        <v>0</v>
      </c>
      <c r="S3" s="3233"/>
      <c r="T3" s="3233"/>
      <c r="U3" s="3233"/>
      <c r="V3" s="3236"/>
      <c r="W3" s="3235"/>
    </row>
    <row r="4" spans="1:23" s="3141" customFormat="1" ht="13.15" customHeight="1">
      <c r="A4" s="3145" t="s">
        <v>2844</v>
      </c>
      <c r="B4" s="3202"/>
      <c r="C4" s="3138"/>
      <c r="D4" s="3138"/>
      <c r="E4" s="3139"/>
      <c r="F4" s="3140"/>
      <c r="G4" s="3234"/>
      <c r="H4" s="3235"/>
      <c r="I4" s="3236"/>
      <c r="J4" s="3582" t="s">
        <v>2845</v>
      </c>
      <c r="K4" s="3583"/>
      <c r="L4" s="3243"/>
      <c r="M4" s="3243"/>
      <c r="N4" s="3243"/>
      <c r="O4" s="3243"/>
      <c r="P4" s="3243"/>
      <c r="Q4" s="3244"/>
      <c r="R4" s="3245">
        <f>SUM(L4:Q4)</f>
        <v>0</v>
      </c>
      <c r="S4" s="3233"/>
      <c r="T4" s="3233"/>
      <c r="U4" s="3233"/>
      <c r="V4" s="3236"/>
      <c r="W4" s="3235"/>
    </row>
    <row r="5" spans="1:23" s="3141" customFormat="1" ht="13.15" customHeight="1" thickBot="1">
      <c r="A5" s="3146" t="s">
        <v>2846</v>
      </c>
      <c r="B5" s="3203"/>
      <c r="C5" s="3138"/>
      <c r="D5" s="3147"/>
      <c r="E5" s="3140"/>
      <c r="F5" s="3140"/>
      <c r="G5" s="3234"/>
      <c r="H5" s="3235"/>
      <c r="I5" s="3236"/>
      <c r="J5" s="3246" t="s">
        <v>2847</v>
      </c>
      <c r="K5" s="3247"/>
      <c r="L5" s="3247"/>
      <c r="M5" s="3248"/>
      <c r="N5" s="3248"/>
      <c r="O5" s="3248"/>
      <c r="P5" s="3248"/>
      <c r="Q5" s="3248"/>
      <c r="R5" s="3239">
        <f>SUM(R14,R19,R24,R25,R27,R28)</f>
        <v>0</v>
      </c>
      <c r="S5" s="3233"/>
      <c r="T5" s="3233" t="s">
        <v>2848</v>
      </c>
      <c r="U5" s="3233" t="e">
        <f>ROUND(R5*10000/365/R3,1)</f>
        <v>#DIV/0!</v>
      </c>
      <c r="V5" s="3236"/>
      <c r="W5" s="3235"/>
    </row>
    <row r="6" spans="1:23" s="3141" customFormat="1" ht="13.15" customHeight="1" thickBot="1">
      <c r="A6" s="3584" t="s">
        <v>2849</v>
      </c>
      <c r="B6" s="3585"/>
      <c r="C6" s="3586"/>
      <c r="D6" s="3204"/>
      <c r="E6" s="3148"/>
      <c r="F6" s="3149"/>
      <c r="G6" s="3249"/>
      <c r="H6" s="3235"/>
      <c r="I6" s="3236"/>
      <c r="J6" s="3587">
        <v>1</v>
      </c>
      <c r="K6" s="3588" t="s">
        <v>2850</v>
      </c>
      <c r="L6" s="3250" t="s">
        <v>2851</v>
      </c>
      <c r="M6" s="3251" t="s">
        <v>2852</v>
      </c>
      <c r="N6" s="3251" t="s">
        <v>2853</v>
      </c>
      <c r="O6" s="3251" t="s">
        <v>2854</v>
      </c>
      <c r="P6" s="3251" t="s">
        <v>2855</v>
      </c>
      <c r="Q6" s="3251" t="s">
        <v>2856</v>
      </c>
      <c r="R6" s="3242" t="s">
        <v>2857</v>
      </c>
      <c r="S6" s="3233"/>
      <c r="T6" s="3233" t="s">
        <v>2858</v>
      </c>
      <c r="U6" s="3233"/>
      <c r="V6" s="3236"/>
      <c r="W6" s="3235"/>
    </row>
    <row r="7" spans="1:23" s="3141" customFormat="1" ht="13.15" customHeight="1">
      <c r="A7" s="3151" t="s">
        <v>2859</v>
      </c>
      <c r="B7" s="3152"/>
      <c r="C7" s="3153"/>
      <c r="D7" s="3154">
        <f>SUM(D9,D10,D11,D17,0)</f>
        <v>0</v>
      </c>
      <c r="E7" s="3155" t="e">
        <f>E9+E10+E11+E17</f>
        <v>#DIV/0!</v>
      </c>
      <c r="F7" s="3156"/>
      <c r="G7" s="3252"/>
      <c r="H7" s="3235"/>
      <c r="I7" s="3236"/>
      <c r="J7" s="3587"/>
      <c r="K7" s="3589"/>
      <c r="L7" s="3253" t="s">
        <v>2959</v>
      </c>
      <c r="M7" s="3254"/>
      <c r="N7" s="3254"/>
      <c r="O7" s="3255"/>
      <c r="P7" s="3255"/>
      <c r="Q7" s="3256">
        <v>365</v>
      </c>
      <c r="R7" s="3257">
        <f>ROUND(M7*N7*O7*P7*Q7/10000,0)</f>
        <v>0</v>
      </c>
      <c r="S7" s="3233"/>
      <c r="T7" s="3233" t="s">
        <v>2860</v>
      </c>
      <c r="U7" s="3233"/>
      <c r="V7" s="3236"/>
      <c r="W7" s="3235"/>
    </row>
    <row r="8" spans="1:23" s="3141" customFormat="1" ht="13.15" customHeight="1">
      <c r="A8" s="3157" t="s">
        <v>2861</v>
      </c>
      <c r="B8" s="3591" t="s">
        <v>2862</v>
      </c>
      <c r="C8" s="3592"/>
      <c r="D8" s="3158" t="s">
        <v>2863</v>
      </c>
      <c r="E8" s="3159" t="s">
        <v>2864</v>
      </c>
      <c r="F8" s="3142" t="s">
        <v>2865</v>
      </c>
      <c r="G8" s="3312" t="s">
        <v>2973</v>
      </c>
      <c r="H8" s="3235"/>
      <c r="I8" s="3236"/>
      <c r="J8" s="3587"/>
      <c r="K8" s="3589"/>
      <c r="L8" s="3253" t="s">
        <v>2960</v>
      </c>
      <c r="M8" s="3254"/>
      <c r="N8" s="3254"/>
      <c r="O8" s="3255"/>
      <c r="P8" s="3255"/>
      <c r="Q8" s="3256">
        <v>365</v>
      </c>
      <c r="R8" s="3257">
        <f t="shared" ref="R8:R13" si="0">ROUND(M8*N8*O8*P8*Q8/10000,0)</f>
        <v>0</v>
      </c>
      <c r="S8" s="3233"/>
      <c r="T8" s="3233" t="s">
        <v>2866</v>
      </c>
      <c r="U8" s="3233"/>
      <c r="V8" s="3236"/>
      <c r="W8" s="3235"/>
    </row>
    <row r="9" spans="1:23" s="3141" customFormat="1" ht="13.15" customHeight="1">
      <c r="A9" s="3157">
        <v>1</v>
      </c>
      <c r="B9" s="3591" t="s">
        <v>2867</v>
      </c>
      <c r="C9" s="3592"/>
      <c r="D9" s="3158">
        <f>ROUND(D6*E9,0)</f>
        <v>0</v>
      </c>
      <c r="E9" s="3205"/>
      <c r="F9" s="3160" t="s">
        <v>2868</v>
      </c>
      <c r="G9" s="3258" t="s">
        <v>2971</v>
      </c>
      <c r="H9" s="3235"/>
      <c r="I9" s="3236"/>
      <c r="J9" s="3587"/>
      <c r="K9" s="3589"/>
      <c r="L9" s="3253" t="s">
        <v>2961</v>
      </c>
      <c r="M9" s="3254"/>
      <c r="N9" s="3254"/>
      <c r="O9" s="3255"/>
      <c r="P9" s="3255"/>
      <c r="Q9" s="3256">
        <v>365</v>
      </c>
      <c r="R9" s="3257">
        <f t="shared" si="0"/>
        <v>0</v>
      </c>
      <c r="S9" s="3233"/>
      <c r="T9" s="3233"/>
      <c r="U9" s="3233"/>
      <c r="V9" s="3236"/>
      <c r="W9" s="3235"/>
    </row>
    <row r="10" spans="1:23" s="3141" customFormat="1" ht="13.15" customHeight="1">
      <c r="A10" s="3157">
        <v>2</v>
      </c>
      <c r="B10" s="3591" t="s">
        <v>2869</v>
      </c>
      <c r="C10" s="3592"/>
      <c r="D10" s="3158">
        <f>ROUND(D6*E10,0)</f>
        <v>0</v>
      </c>
      <c r="E10" s="3205"/>
      <c r="F10" s="3160" t="s">
        <v>2870</v>
      </c>
      <c r="G10" s="3258" t="s">
        <v>2972</v>
      </c>
      <c r="H10" s="3235"/>
      <c r="I10" s="3236"/>
      <c r="J10" s="3587"/>
      <c r="K10" s="3589"/>
      <c r="L10" s="3253" t="s">
        <v>2962</v>
      </c>
      <c r="M10" s="3254"/>
      <c r="N10" s="3254"/>
      <c r="O10" s="3255"/>
      <c r="P10" s="3255"/>
      <c r="Q10" s="3256">
        <v>365</v>
      </c>
      <c r="R10" s="3257">
        <f t="shared" si="0"/>
        <v>0</v>
      </c>
      <c r="S10" s="3233"/>
      <c r="T10" s="3233"/>
      <c r="U10" s="3233"/>
      <c r="V10" s="3236"/>
      <c r="W10" s="3235"/>
    </row>
    <row r="11" spans="1:23" s="3141" customFormat="1" ht="13.15" customHeight="1">
      <c r="A11" s="3157">
        <v>3</v>
      </c>
      <c r="B11" s="3591" t="s">
        <v>2871</v>
      </c>
      <c r="C11" s="3592"/>
      <c r="D11" s="3158">
        <f>D12+D14+D15+D16</f>
        <v>0</v>
      </c>
      <c r="E11" s="3161" t="e">
        <f>D11/D6</f>
        <v>#DIV/0!</v>
      </c>
      <c r="F11" s="3142"/>
      <c r="G11" s="3258"/>
      <c r="H11" s="3235"/>
      <c r="I11" s="3236"/>
      <c r="J11" s="3587"/>
      <c r="K11" s="3589"/>
      <c r="L11" s="3253" t="s">
        <v>2963</v>
      </c>
      <c r="M11" s="3254"/>
      <c r="N11" s="3254"/>
      <c r="O11" s="3255"/>
      <c r="P11" s="3255"/>
      <c r="Q11" s="3256">
        <v>365</v>
      </c>
      <c r="R11" s="3257">
        <f t="shared" si="0"/>
        <v>0</v>
      </c>
      <c r="S11" s="3233"/>
      <c r="T11" s="3233"/>
      <c r="U11" s="3233"/>
      <c r="V11" s="3236"/>
      <c r="W11" s="3235"/>
    </row>
    <row r="12" spans="1:23" s="3141" customFormat="1" ht="13.15" customHeight="1">
      <c r="A12" s="3162" t="s">
        <v>2872</v>
      </c>
      <c r="B12" s="3593" t="s">
        <v>2873</v>
      </c>
      <c r="C12" s="3594"/>
      <c r="D12" s="3163">
        <f>ROUND(D13*1.2%*(1-30%),0)</f>
        <v>0</v>
      </c>
      <c r="E12" s="3164">
        <v>1.2E-2</v>
      </c>
      <c r="F12" s="3142" t="s">
        <v>2874</v>
      </c>
      <c r="G12" s="3258"/>
      <c r="H12" s="3235"/>
      <c r="I12" s="3236"/>
      <c r="J12" s="3587"/>
      <c r="K12" s="3589"/>
      <c r="L12" s="3253" t="s">
        <v>2964</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2875</v>
      </c>
      <c r="D13" s="3206"/>
      <c r="E13" s="3167"/>
      <c r="F13" s="3142"/>
      <c r="G13" s="3258"/>
      <c r="H13" s="3235"/>
      <c r="I13" s="3236"/>
      <c r="J13" s="3587"/>
      <c r="K13" s="3589"/>
      <c r="L13" s="3253" t="s">
        <v>2965</v>
      </c>
      <c r="M13" s="3254"/>
      <c r="N13" s="3254"/>
      <c r="O13" s="3255"/>
      <c r="P13" s="3255"/>
      <c r="Q13" s="3256">
        <v>365</v>
      </c>
      <c r="R13" s="3257">
        <f t="shared" si="0"/>
        <v>0</v>
      </c>
      <c r="S13" s="3233"/>
      <c r="T13" s="3233"/>
      <c r="U13" s="3233"/>
      <c r="V13" s="3236"/>
      <c r="W13" s="3235"/>
    </row>
    <row r="14" spans="1:23" s="3141" customFormat="1" ht="13.15" customHeight="1">
      <c r="A14" s="3162" t="s">
        <v>2876</v>
      </c>
      <c r="B14" s="3593" t="s">
        <v>2877</v>
      </c>
      <c r="C14" s="3594"/>
      <c r="D14" s="3163">
        <f>ROUND(E14*B5/10000,0)</f>
        <v>0</v>
      </c>
      <c r="E14" s="3207"/>
      <c r="F14" s="3142" t="s">
        <v>2878</v>
      </c>
      <c r="G14" s="3258"/>
      <c r="H14" s="3235"/>
      <c r="I14" s="3236"/>
      <c r="J14" s="3587"/>
      <c r="K14" s="3590"/>
      <c r="L14" s="3259" t="s">
        <v>2879</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2880</v>
      </c>
      <c r="B15" s="3593" t="s">
        <v>2881</v>
      </c>
      <c r="C15" s="3594"/>
      <c r="D15" s="3163">
        <f>ROUND(D6*E15,0)</f>
        <v>0</v>
      </c>
      <c r="E15" s="3164">
        <v>5.5E-2</v>
      </c>
      <c r="F15" s="3142" t="s">
        <v>2882</v>
      </c>
      <c r="G15" s="3258"/>
      <c r="H15" s="3235"/>
      <c r="I15" s="3236"/>
      <c r="J15" s="3587">
        <v>2</v>
      </c>
      <c r="K15" s="3588" t="s">
        <v>2883</v>
      </c>
      <c r="L15" s="3263" t="s">
        <v>2884</v>
      </c>
      <c r="M15" s="3264" t="s">
        <v>2885</v>
      </c>
      <c r="N15" s="3264" t="s">
        <v>2886</v>
      </c>
      <c r="O15" s="3265" t="s">
        <v>2887</v>
      </c>
      <c r="P15" s="3265" t="s">
        <v>2888</v>
      </c>
      <c r="Q15" s="3202" t="s">
        <v>2889</v>
      </c>
      <c r="R15" s="3266" t="s">
        <v>2890</v>
      </c>
      <c r="S15" s="3233"/>
      <c r="T15" s="3233"/>
      <c r="U15" s="3233"/>
      <c r="V15" s="3236"/>
      <c r="W15" s="3235"/>
    </row>
    <row r="16" spans="1:23" s="3141" customFormat="1" ht="13.15" customHeight="1">
      <c r="A16" s="3162" t="s">
        <v>2891</v>
      </c>
      <c r="B16" s="3593" t="s">
        <v>2892</v>
      </c>
      <c r="C16" s="3594"/>
      <c r="D16" s="3208">
        <f>D6*E16</f>
        <v>0</v>
      </c>
      <c r="E16" s="3209"/>
      <c r="F16" s="3160" t="s">
        <v>2893</v>
      </c>
      <c r="G16" s="3258"/>
      <c r="H16" s="3235"/>
      <c r="I16" s="3236"/>
      <c r="J16" s="3587"/>
      <c r="K16" s="3589"/>
      <c r="L16" s="3253" t="s">
        <v>2966</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5" t="s">
        <v>2894</v>
      </c>
      <c r="C17" s="3596"/>
      <c r="D17" s="3169">
        <f>ROUND(D6*E17,0)</f>
        <v>0</v>
      </c>
      <c r="E17" s="3210"/>
      <c r="F17" s="3170" t="s">
        <v>2895</v>
      </c>
      <c r="G17" s="3311">
        <v>0.1</v>
      </c>
      <c r="H17" s="3235"/>
      <c r="I17" s="3236"/>
      <c r="J17" s="3587"/>
      <c r="K17" s="3589"/>
      <c r="L17" s="3253" t="s">
        <v>2967</v>
      </c>
      <c r="M17" s="3254"/>
      <c r="N17" s="3254"/>
      <c r="O17" s="3255"/>
      <c r="P17" s="3256">
        <v>365</v>
      </c>
      <c r="Q17" s="3254"/>
      <c r="R17" s="3267">
        <f>ROUND(M17*N17*O17*P17/10000,0)</f>
        <v>0</v>
      </c>
      <c r="S17" s="3233"/>
      <c r="T17" s="3233"/>
      <c r="U17" s="3233"/>
      <c r="V17" s="3236"/>
      <c r="W17" s="3235"/>
    </row>
    <row r="18" spans="1:23" s="3141" customFormat="1" ht="13.15" customHeight="1" thickBot="1">
      <c r="A18" s="3151" t="s">
        <v>2896</v>
      </c>
      <c r="B18" s="3152"/>
      <c r="C18" s="3152"/>
      <c r="D18" s="3171">
        <f>ROUND(D6*E18,0)</f>
        <v>0</v>
      </c>
      <c r="E18" s="3211"/>
      <c r="F18" s="3172" t="s">
        <v>2897</v>
      </c>
      <c r="G18" s="3311">
        <v>0.05</v>
      </c>
      <c r="H18" s="3235"/>
      <c r="I18" s="3236"/>
      <c r="J18" s="3587"/>
      <c r="K18" s="3589"/>
      <c r="L18" s="3253" t="s">
        <v>2968</v>
      </c>
      <c r="M18" s="3254"/>
      <c r="N18" s="3254"/>
      <c r="O18" s="3255"/>
      <c r="P18" s="3256">
        <v>365</v>
      </c>
      <c r="Q18" s="3254"/>
      <c r="R18" s="3267">
        <f>ROUND(M18*N18*O18*P18/10000,0)</f>
        <v>0</v>
      </c>
      <c r="S18" s="3233"/>
      <c r="T18" s="3233"/>
      <c r="U18" s="3233"/>
      <c r="V18" s="3236"/>
      <c r="W18" s="3235"/>
    </row>
    <row r="19" spans="1:23" s="3141" customFormat="1" ht="13.15" customHeight="1" thickBot="1">
      <c r="A19" s="3173" t="s">
        <v>2898</v>
      </c>
      <c r="B19" s="3148"/>
      <c r="C19" s="3148"/>
      <c r="D19" s="3148"/>
      <c r="E19" s="3148"/>
      <c r="F19" s="3149"/>
      <c r="G19" s="3258"/>
      <c r="H19" s="3235"/>
      <c r="I19" s="3236"/>
      <c r="J19" s="3587"/>
      <c r="K19" s="3590"/>
      <c r="L19" s="3259" t="s">
        <v>2879</v>
      </c>
      <c r="M19" s="3260"/>
      <c r="N19" s="3260">
        <f>SUM(N16:N18)</f>
        <v>0</v>
      </c>
      <c r="O19" s="3261"/>
      <c r="P19" s="3268" t="s">
        <v>2969</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7">
        <v>3</v>
      </c>
      <c r="K20" s="3588" t="s">
        <v>2899</v>
      </c>
      <c r="L20" s="3263" t="s">
        <v>2900</v>
      </c>
      <c r="M20" s="3264" t="s">
        <v>2901</v>
      </c>
      <c r="N20" s="3270" t="s">
        <v>2902</v>
      </c>
      <c r="O20" s="3265" t="s">
        <v>2903</v>
      </c>
      <c r="P20" s="3207" t="s">
        <v>2888</v>
      </c>
      <c r="Q20" s="3202" t="s">
        <v>2889</v>
      </c>
      <c r="R20" s="3266" t="s">
        <v>2890</v>
      </c>
      <c r="S20" s="3271"/>
      <c r="T20" s="3271"/>
      <c r="U20" s="3271"/>
      <c r="V20" s="3236"/>
      <c r="W20" s="3235"/>
    </row>
    <row r="21" spans="1:23" s="3141" customFormat="1" ht="13.15" customHeight="1">
      <c r="A21" s="3151"/>
      <c r="B21" s="3152"/>
      <c r="C21" s="3175" t="s">
        <v>2904</v>
      </c>
      <c r="D21" s="3176" t="s">
        <v>2905</v>
      </c>
      <c r="E21" s="3177" t="s">
        <v>2906</v>
      </c>
      <c r="F21" s="3174"/>
      <c r="G21" s="3258"/>
      <c r="H21" s="3235"/>
      <c r="I21" s="3236"/>
      <c r="J21" s="3587"/>
      <c r="K21" s="3589"/>
      <c r="L21" s="3263" t="s">
        <v>2907</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2908</v>
      </c>
      <c r="D22" s="3213" t="s">
        <v>2909</v>
      </c>
      <c r="E22" s="3214" t="s">
        <v>2910</v>
      </c>
      <c r="F22" s="3174"/>
      <c r="G22" s="3273"/>
      <c r="H22" s="3235"/>
      <c r="I22" s="3236"/>
      <c r="J22" s="3587"/>
      <c r="K22" s="3589"/>
      <c r="L22" s="3263" t="s">
        <v>2911</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2912</v>
      </c>
      <c r="C23" s="3179">
        <f>D6</f>
        <v>0</v>
      </c>
      <c r="D23" s="3180">
        <f>C23*(1+D24)</f>
        <v>0</v>
      </c>
      <c r="E23" s="3181">
        <f>D23*(1+E24)</f>
        <v>0</v>
      </c>
      <c r="F23" s="3182"/>
      <c r="G23" s="3274"/>
      <c r="H23" s="3235"/>
      <c r="I23" s="3236"/>
      <c r="J23" s="3587"/>
      <c r="K23" s="3589"/>
      <c r="L23" s="3263" t="s">
        <v>2913</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2914</v>
      </c>
      <c r="C24" s="3185"/>
      <c r="D24" s="3215"/>
      <c r="E24" s="3216"/>
      <c r="F24" s="3186"/>
      <c r="G24" s="3274"/>
      <c r="H24" s="3235"/>
      <c r="I24" s="3236"/>
      <c r="J24" s="3587"/>
      <c r="K24" s="3590"/>
      <c r="L24" s="3259" t="s">
        <v>2879</v>
      </c>
      <c r="M24" s="3260">
        <f>SUM(M21:M23)</f>
        <v>0</v>
      </c>
      <c r="N24" s="3260"/>
      <c r="O24" s="3261"/>
      <c r="P24" s="3268" t="s">
        <v>2969</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2915</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2916</v>
      </c>
      <c r="C26" s="3179">
        <f>D7</f>
        <v>0</v>
      </c>
      <c r="D26" s="3180">
        <f>D23*D27</f>
        <v>0</v>
      </c>
      <c r="E26" s="3181">
        <f>E23*E27</f>
        <v>0</v>
      </c>
      <c r="F26" s="3182"/>
      <c r="G26" s="3274"/>
      <c r="H26" s="3235"/>
      <c r="I26" s="3236"/>
      <c r="J26" s="3597">
        <v>5</v>
      </c>
      <c r="K26" s="3282" t="s">
        <v>2917</v>
      </c>
      <c r="L26" s="3283"/>
      <c r="M26" s="3284"/>
      <c r="N26" s="3285" t="s">
        <v>2918</v>
      </c>
      <c r="O26" s="3285" t="s">
        <v>2919</v>
      </c>
      <c r="P26" s="3286" t="s">
        <v>2920</v>
      </c>
      <c r="Q26" s="3286" t="s">
        <v>2921</v>
      </c>
      <c r="R26" s="3242" t="s">
        <v>2890</v>
      </c>
      <c r="S26" s="3287"/>
      <c r="T26" s="3287"/>
      <c r="U26" s="3287"/>
      <c r="V26" s="3280"/>
      <c r="W26" s="3281"/>
    </row>
    <row r="27" spans="1:23" s="3141" customFormat="1" ht="13.15" customHeight="1">
      <c r="A27" s="3183"/>
      <c r="B27" s="3184" t="s">
        <v>2922</v>
      </c>
      <c r="C27" s="3188" t="e">
        <f>E7</f>
        <v>#DIV/0!</v>
      </c>
      <c r="D27" s="3215"/>
      <c r="E27" s="3216"/>
      <c r="F27" s="3186"/>
      <c r="G27" s="3274"/>
      <c r="H27" s="3281"/>
      <c r="I27" s="3280"/>
      <c r="J27" s="3598"/>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2923</v>
      </c>
      <c r="F28" s="3186"/>
      <c r="G28" s="3273"/>
      <c r="H28" s="3281"/>
      <c r="I28" s="3280"/>
      <c r="J28" s="3293">
        <v>6</v>
      </c>
      <c r="K28" s="3294" t="s">
        <v>2924</v>
      </c>
      <c r="L28" s="3295" t="s">
        <v>2925</v>
      </c>
      <c r="M28" s="3296"/>
      <c r="N28" s="3295" t="s">
        <v>2926</v>
      </c>
      <c r="O28" s="3297"/>
      <c r="P28" s="3295" t="s">
        <v>2927</v>
      </c>
      <c r="Q28" s="3298">
        <v>1.4999999999999999E-2</v>
      </c>
      <c r="R28" s="3299"/>
      <c r="S28" s="3271"/>
      <c r="T28" s="3271"/>
      <c r="U28" s="3271"/>
      <c r="V28" s="3280"/>
      <c r="W28" s="3281"/>
    </row>
    <row r="29" spans="1:23" s="3187" customFormat="1" ht="13.15" customHeight="1">
      <c r="A29" s="3178">
        <v>3</v>
      </c>
      <c r="B29" s="3150" t="s">
        <v>2928</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2922</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2929</v>
      </c>
      <c r="K31" s="3231"/>
      <c r="L31" s="3231"/>
      <c r="M31" s="3231"/>
      <c r="N31" s="3231"/>
      <c r="O31" s="3231"/>
      <c r="P31" s="3231"/>
      <c r="Q31" s="3231"/>
      <c r="R31" s="3232"/>
      <c r="S31" s="3271"/>
      <c r="T31" s="3233"/>
      <c r="U31" s="3233"/>
      <c r="V31" s="3280"/>
      <c r="W31" s="3281"/>
    </row>
    <row r="32" spans="1:23" s="3187" customFormat="1" ht="13.15" customHeight="1">
      <c r="A32" s="3178">
        <v>4</v>
      </c>
      <c r="B32" s="3150" t="s">
        <v>2930</v>
      </c>
      <c r="C32" s="3179">
        <f>C23-C26-C29</f>
        <v>0</v>
      </c>
      <c r="D32" s="3180">
        <f>D23-D26-D29</f>
        <v>0</v>
      </c>
      <c r="E32" s="3181">
        <f>E23-E26-E29</f>
        <v>0</v>
      </c>
      <c r="F32" s="3182"/>
      <c r="G32" s="3273"/>
      <c r="H32" s="3235"/>
      <c r="I32" s="3236"/>
      <c r="J32" s="3580" t="s">
        <v>2931</v>
      </c>
      <c r="K32" s="3581"/>
      <c r="L32" s="3237" t="s">
        <v>2932</v>
      </c>
      <c r="M32" s="3237" t="s">
        <v>2835</v>
      </c>
      <c r="N32" s="3237" t="s">
        <v>2836</v>
      </c>
      <c r="O32" s="3237" t="s">
        <v>2837</v>
      </c>
      <c r="P32" s="3237" t="s">
        <v>2838</v>
      </c>
      <c r="Q32" s="3238" t="s">
        <v>2933</v>
      </c>
      <c r="R32" s="3300" t="s">
        <v>2934</v>
      </c>
      <c r="S32" s="3271"/>
      <c r="T32" s="3233"/>
      <c r="U32" s="3233"/>
      <c r="V32" s="3280"/>
      <c r="W32" s="3281"/>
    </row>
    <row r="33" spans="1:23" s="3141" customFormat="1" ht="13.15" customHeight="1">
      <c r="A33" s="3178"/>
      <c r="B33" s="3150"/>
      <c r="C33" s="3179"/>
      <c r="D33" s="3190"/>
      <c r="E33" s="3191"/>
      <c r="F33" s="3182"/>
      <c r="G33" s="3273"/>
      <c r="H33" s="3281"/>
      <c r="I33" s="3280"/>
      <c r="J33" s="3582" t="s">
        <v>2935</v>
      </c>
      <c r="K33" s="3583"/>
      <c r="L33" s="3240"/>
      <c r="M33" s="3240"/>
      <c r="N33" s="3240"/>
      <c r="O33" s="3240"/>
      <c r="P33" s="3240"/>
      <c r="Q33" s="3241"/>
      <c r="R33" s="3301">
        <f>SUM(L33:Q33)</f>
        <v>0</v>
      </c>
      <c r="S33" s="3271"/>
      <c r="T33" s="3233"/>
      <c r="U33" s="3233"/>
      <c r="V33" s="3236"/>
      <c r="W33" s="3235"/>
    </row>
    <row r="34" spans="1:23" s="3141" customFormat="1" ht="13.15" customHeight="1">
      <c r="A34" s="3178">
        <v>5</v>
      </c>
      <c r="B34" s="3150" t="s">
        <v>2936</v>
      </c>
      <c r="C34" s="3218"/>
      <c r="D34" s="3219"/>
      <c r="E34" s="3220"/>
      <c r="F34" s="3182"/>
      <c r="G34" s="3273"/>
      <c r="H34" s="3281"/>
      <c r="I34" s="3280"/>
      <c r="J34" s="3582" t="s">
        <v>2937</v>
      </c>
      <c r="K34" s="3583"/>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2938</v>
      </c>
      <c r="C35" s="3221"/>
      <c r="D35" s="3222"/>
      <c r="E35" s="3223"/>
      <c r="F35" s="3182"/>
      <c r="G35" s="3303"/>
      <c r="H35" s="3235"/>
      <c r="I35" s="3280"/>
      <c r="J35" s="3246" t="s">
        <v>2939</v>
      </c>
      <c r="K35" s="3247"/>
      <c r="L35" s="3247"/>
      <c r="M35" s="3248"/>
      <c r="N35" s="3248"/>
      <c r="O35" s="3248"/>
      <c r="P35" s="3248"/>
      <c r="Q35" s="3248"/>
      <c r="R35" s="3304">
        <f>R40+R41+R43</f>
        <v>0</v>
      </c>
      <c r="S35" s="3271"/>
      <c r="T35" s="3233" t="s">
        <v>2940</v>
      </c>
      <c r="U35" s="3233"/>
      <c r="V35" s="3236"/>
      <c r="W35" s="3235"/>
    </row>
    <row r="36" spans="1:23" s="3141" customFormat="1" ht="13.15" customHeight="1" thickBot="1">
      <c r="A36" s="3178">
        <v>7</v>
      </c>
      <c r="B36" s="3192" t="s">
        <v>2941</v>
      </c>
      <c r="C36" s="3224"/>
      <c r="D36" s="3225"/>
      <c r="E36" s="3226"/>
      <c r="F36" s="3193">
        <f>C36+D36+E36</f>
        <v>0</v>
      </c>
      <c r="G36" s="3273"/>
      <c r="H36" s="3235"/>
      <c r="I36" s="3236"/>
      <c r="J36" s="3587">
        <v>1</v>
      </c>
      <c r="K36" s="3588" t="s">
        <v>2942</v>
      </c>
      <c r="L36" s="3250"/>
      <c r="M36" s="3251"/>
      <c r="N36" s="3251"/>
      <c r="O36" s="3251"/>
      <c r="P36" s="3251"/>
      <c r="Q36" s="3251"/>
      <c r="R36" s="3242" t="s">
        <v>2890</v>
      </c>
      <c r="S36" s="3271"/>
      <c r="T36" s="3233" t="s">
        <v>2943</v>
      </c>
      <c r="U36" s="3233"/>
      <c r="V36" s="3236"/>
      <c r="W36" s="3235"/>
    </row>
    <row r="37" spans="1:23" s="3141" customFormat="1" ht="13.15" customHeight="1">
      <c r="A37" s="3178"/>
      <c r="B37" s="3150"/>
      <c r="C37" s="3150"/>
      <c r="D37" s="3150"/>
      <c r="E37" s="3150"/>
      <c r="F37" s="3182"/>
      <c r="G37" s="3273"/>
      <c r="H37" s="3235"/>
      <c r="I37" s="3236"/>
      <c r="J37" s="3587"/>
      <c r="K37" s="3589"/>
      <c r="L37" s="3263"/>
      <c r="M37" s="3264"/>
      <c r="N37" s="3202"/>
      <c r="O37" s="3265"/>
      <c r="P37" s="3265"/>
      <c r="Q37" s="3207"/>
      <c r="R37" s="3305"/>
      <c r="S37" s="3271"/>
      <c r="T37" s="3233" t="s">
        <v>2944</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7"/>
      <c r="K38" s="3589"/>
      <c r="L38" s="3263"/>
      <c r="M38" s="3264"/>
      <c r="N38" s="3202"/>
      <c r="O38" s="3265"/>
      <c r="P38" s="3265"/>
      <c r="Q38" s="3207"/>
      <c r="R38" s="3305"/>
      <c r="S38" s="3271"/>
      <c r="T38" s="3233" t="s">
        <v>2866</v>
      </c>
      <c r="U38" s="3233"/>
      <c r="V38" s="3236"/>
      <c r="W38" s="3235"/>
    </row>
    <row r="39" spans="1:23" s="3141" customFormat="1" ht="13.15" customHeight="1">
      <c r="A39" s="3178">
        <v>9</v>
      </c>
      <c r="B39" s="3150" t="s">
        <v>2945</v>
      </c>
      <c r="C39" s="3163" t="e">
        <f>C38</f>
        <v>#DIV/0!</v>
      </c>
      <c r="D39" s="3150">
        <f>D38/(1+D34)^C36</f>
        <v>0</v>
      </c>
      <c r="E39" s="3150">
        <f>E38/(1+E34)^(C36+D36)</f>
        <v>0</v>
      </c>
      <c r="F39" s="3182"/>
      <c r="G39" s="3306"/>
      <c r="H39" s="3235"/>
      <c r="I39" s="3236"/>
      <c r="J39" s="3587"/>
      <c r="K39" s="3589"/>
      <c r="L39" s="3263"/>
      <c r="M39" s="3264"/>
      <c r="N39" s="3202"/>
      <c r="O39" s="3265"/>
      <c r="P39" s="3265"/>
      <c r="Q39" s="3207"/>
      <c r="R39" s="3305"/>
      <c r="S39" s="3271"/>
      <c r="T39" s="3233"/>
      <c r="U39" s="3233"/>
      <c r="V39" s="3236"/>
      <c r="W39" s="3235"/>
    </row>
    <row r="40" spans="1:23" s="3141" customFormat="1" ht="13.15" customHeight="1">
      <c r="A40" s="3194">
        <v>10</v>
      </c>
      <c r="B40" s="3150" t="s">
        <v>2946</v>
      </c>
      <c r="C40" s="3195" t="e">
        <f>C39+D39+E39</f>
        <v>#DIV/0!</v>
      </c>
      <c r="D40" s="3196"/>
      <c r="E40" s="3196"/>
      <c r="F40" s="3197"/>
      <c r="G40" s="3273"/>
      <c r="H40" s="3235"/>
      <c r="I40" s="3236"/>
      <c r="J40" s="3587"/>
      <c r="K40" s="3590"/>
      <c r="L40" s="3259" t="s">
        <v>2947</v>
      </c>
      <c r="M40" s="3260"/>
      <c r="N40" s="3260"/>
      <c r="O40" s="3261"/>
      <c r="P40" s="3261"/>
      <c r="Q40" s="3262"/>
      <c r="R40" s="3239">
        <f>SUM(R37:R39)</f>
        <v>0</v>
      </c>
      <c r="S40" s="3271"/>
      <c r="T40" s="3233"/>
      <c r="U40" s="3233"/>
      <c r="V40" s="3236"/>
      <c r="W40" s="3235"/>
    </row>
    <row r="41" spans="1:23" s="3141" customFormat="1" ht="13.15" customHeight="1" thickBot="1">
      <c r="A41" s="3198">
        <v>11</v>
      </c>
      <c r="B41" s="3199" t="s">
        <v>2948</v>
      </c>
      <c r="C41" s="3199" t="e">
        <f>ROUND(C40*10000/B4,0)</f>
        <v>#DIV/0!</v>
      </c>
      <c r="D41" s="3200"/>
      <c r="E41" s="3200"/>
      <c r="F41" s="3201"/>
      <c r="G41" s="3307"/>
      <c r="H41" s="3235"/>
      <c r="I41" s="3236"/>
      <c r="J41" s="3275">
        <v>2</v>
      </c>
      <c r="K41" s="3276" t="s">
        <v>2949</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97">
        <v>3</v>
      </c>
      <c r="K42" s="3282" t="s">
        <v>2950</v>
      </c>
      <c r="L42" s="3283"/>
      <c r="M42" s="3284"/>
      <c r="N42" s="3285" t="s">
        <v>2951</v>
      </c>
      <c r="O42" s="3285" t="s">
        <v>2952</v>
      </c>
      <c r="P42" s="3286" t="s">
        <v>2953</v>
      </c>
      <c r="Q42" s="3286" t="s">
        <v>2954</v>
      </c>
      <c r="R42" s="3242" t="s">
        <v>2857</v>
      </c>
      <c r="S42" s="3287"/>
      <c r="T42" s="3287"/>
      <c r="U42" s="3233"/>
      <c r="V42" s="3236"/>
      <c r="W42" s="3235"/>
    </row>
    <row r="43" spans="1:23" ht="13.15" customHeight="1">
      <c r="A43" s="3141"/>
      <c r="B43" s="3141"/>
      <c r="C43" s="3141"/>
      <c r="D43" s="3141"/>
      <c r="E43" s="3141"/>
      <c r="F43" s="3141"/>
      <c r="I43" s="3228"/>
      <c r="J43" s="3598"/>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2955</v>
      </c>
      <c r="L44" s="3310" t="s">
        <v>2956</v>
      </c>
      <c r="M44" s="3296"/>
      <c r="N44" s="3310" t="s">
        <v>2957</v>
      </c>
      <c r="O44" s="3296"/>
      <c r="P44" s="3310" t="s">
        <v>2958</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F29" sqref="F29"/>
      <selection pane="bottomLeft" activeCell="V15" sqref="V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hidden="1" customWidth="1"/>
    <col min="9" max="9" width="5" style="16" hidden="1" customWidth="1"/>
    <col min="10" max="10" width="9" style="16" hidden="1" customWidth="1"/>
    <col min="11" max="11" width="5" style="16" hidden="1" customWidth="1"/>
    <col min="12" max="12" width="9" style="16" hidden="1" customWidth="1"/>
    <col min="13" max="13" width="5" style="16" hidden="1" customWidth="1"/>
    <col min="14" max="14" width="9" style="16" hidden="1" customWidth="1"/>
    <col min="15" max="15" width="5" style="16" hidden="1" customWidth="1"/>
    <col min="16" max="16" width="0" style="16" hidden="1" customWidth="1"/>
    <col min="17" max="17" width="5" style="16" hidden="1" customWidth="1"/>
    <col min="18" max="18" width="9" style="582"/>
    <col min="19" max="19" width="9" style="32"/>
    <col min="20" max="20" width="9" style="659"/>
    <col min="21" max="22" width="9" style="999"/>
    <col min="23" max="23" width="9" style="659"/>
    <col min="24" max="25" width="9" style="999"/>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7"/>
      <c r="V1" s="997"/>
      <c r="X1" s="997"/>
      <c r="Y1" s="997"/>
    </row>
    <row r="2" spans="1:44" ht="15.75">
      <c r="A2" s="81" t="s">
        <v>2152</v>
      </c>
      <c r="B2" s="250">
        <f ca="1">B23</f>
        <v>15562394</v>
      </c>
      <c r="C2" s="900" t="str">
        <f>C23</f>
        <v>元</v>
      </c>
      <c r="D2" s="37"/>
      <c r="E2" s="37"/>
      <c r="F2" s="37"/>
      <c r="G2" s="37"/>
      <c r="H2" s="37"/>
      <c r="I2" s="37"/>
      <c r="J2" s="37"/>
      <c r="K2" s="37"/>
      <c r="L2" s="37"/>
      <c r="M2" s="37"/>
      <c r="N2" s="37"/>
      <c r="O2" s="37"/>
      <c r="P2" s="37"/>
      <c r="Q2" s="37"/>
      <c r="R2" s="645"/>
      <c r="S2" s="31"/>
      <c r="T2" s="31"/>
      <c r="U2" s="997"/>
      <c r="V2" s="997"/>
      <c r="X2" s="997"/>
      <c r="Y2" s="997"/>
    </row>
    <row r="3" spans="1:44" ht="15.75">
      <c r="A3" s="83" t="s">
        <v>2153</v>
      </c>
      <c r="B3" s="250">
        <f ca="1">B24</f>
        <v>340750016</v>
      </c>
      <c r="C3" s="900" t="s">
        <v>2154</v>
      </c>
      <c r="D3" s="37"/>
      <c r="E3" s="37"/>
      <c r="F3" s="37"/>
      <c r="G3" s="37"/>
      <c r="H3" s="37"/>
      <c r="I3" s="37"/>
      <c r="J3" s="37"/>
      <c r="K3" s="37"/>
      <c r="L3" s="37"/>
      <c r="M3" s="37"/>
      <c r="N3" s="37"/>
      <c r="O3" s="37"/>
      <c r="P3" s="37"/>
      <c r="Q3" s="37"/>
      <c r="R3" s="645"/>
      <c r="S3" s="31"/>
      <c r="T3" s="31"/>
      <c r="U3" s="997"/>
      <c r="V3" s="997"/>
      <c r="X3" s="997"/>
      <c r="Y3" s="997"/>
    </row>
    <row r="4" spans="1:44" ht="14.25" customHeight="1" thickBot="1">
      <c r="A4" s="34"/>
      <c r="B4" s="575" t="s">
        <v>2155</v>
      </c>
      <c r="C4" s="3602" t="s">
        <v>2156</v>
      </c>
      <c r="D4" s="3603"/>
      <c r="E4" s="3603"/>
      <c r="F4" s="3603"/>
      <c r="G4" s="3603"/>
      <c r="H4" s="3603"/>
      <c r="I4" s="3603"/>
      <c r="J4" s="3603"/>
      <c r="K4" s="3603"/>
      <c r="L4" s="3603"/>
      <c r="M4" s="3603"/>
      <c r="N4" s="3603"/>
      <c r="O4" s="3603"/>
      <c r="P4" s="3603"/>
      <c r="Q4" s="3603"/>
      <c r="R4" s="3603"/>
      <c r="S4" s="3604"/>
      <c r="T4" s="575" t="s">
        <v>2157</v>
      </c>
      <c r="U4" s="997"/>
      <c r="V4" s="997"/>
      <c r="X4" s="997"/>
      <c r="Y4" s="997"/>
    </row>
    <row r="5" spans="1:44" s="587" customFormat="1" ht="38.25">
      <c r="A5" s="1001"/>
      <c r="B5" s="583" t="s">
        <v>2158</v>
      </c>
      <c r="C5" s="584" t="str">
        <f t="shared" ref="C5:L5" si="0">C6&amp;"(含)"&amp;"-"&amp;D6</f>
        <v>0(含)-100</v>
      </c>
      <c r="D5" s="585" t="str">
        <f t="shared" si="0"/>
        <v>100(含)-300</v>
      </c>
      <c r="E5" s="585" t="str">
        <f t="shared" si="0"/>
        <v>300(含)-500</v>
      </c>
      <c r="F5" s="585" t="str">
        <f t="shared" si="0"/>
        <v>500(含)-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60"/>
      <c r="X5" s="998"/>
      <c r="Y5" s="998"/>
      <c r="Z5" s="660"/>
      <c r="AA5" s="660"/>
      <c r="AB5" s="660"/>
      <c r="AC5" s="660"/>
      <c r="AD5" s="660"/>
      <c r="AE5" s="660"/>
      <c r="AF5" s="660"/>
      <c r="AG5" s="660"/>
      <c r="AH5" s="660"/>
      <c r="AI5" s="660"/>
      <c r="AJ5" s="660"/>
      <c r="AK5" s="660"/>
      <c r="AL5" s="660"/>
      <c r="AM5" s="660"/>
      <c r="AN5" s="660"/>
      <c r="AO5" s="660"/>
      <c r="AP5" s="660"/>
      <c r="AQ5" s="660"/>
      <c r="AR5" s="660"/>
    </row>
    <row r="6" spans="1:44" s="594" customFormat="1">
      <c r="A6" s="1002"/>
      <c r="B6" s="588"/>
      <c r="C6" s="589">
        <v>0</v>
      </c>
      <c r="D6" s="590">
        <v>100</v>
      </c>
      <c r="E6" s="590">
        <v>300</v>
      </c>
      <c r="F6" s="590">
        <v>500</v>
      </c>
      <c r="G6" s="590"/>
      <c r="H6" s="590"/>
      <c r="I6" s="590"/>
      <c r="J6" s="591"/>
      <c r="K6" s="591"/>
      <c r="L6" s="592"/>
      <c r="M6" s="865"/>
      <c r="N6" s="867"/>
      <c r="O6" s="590"/>
      <c r="P6" s="590"/>
      <c r="Q6" s="590"/>
      <c r="R6" s="590"/>
      <c r="S6" s="911"/>
      <c r="T6" s="593"/>
      <c r="U6" s="998"/>
      <c r="V6" s="998"/>
      <c r="W6" s="661"/>
      <c r="X6" s="998"/>
      <c r="Y6" s="99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3"/>
      <c r="B7" s="880"/>
      <c r="C7" s="881">
        <f>D7-2</f>
        <v>96</v>
      </c>
      <c r="D7" s="882">
        <f>E7-2</f>
        <v>98</v>
      </c>
      <c r="E7" s="882">
        <v>100</v>
      </c>
      <c r="F7" s="882"/>
      <c r="G7" s="882"/>
      <c r="H7" s="882"/>
      <c r="I7" s="882"/>
      <c r="J7" s="882"/>
      <c r="K7" s="882"/>
      <c r="L7" s="882"/>
      <c r="M7" s="883"/>
      <c r="N7" s="884"/>
      <c r="O7" s="882"/>
      <c r="P7" s="882"/>
      <c r="Q7" s="882"/>
      <c r="R7" s="882"/>
      <c r="S7" s="912"/>
      <c r="T7" s="596"/>
      <c r="U7" s="998"/>
      <c r="V7" s="998"/>
      <c r="W7" s="661"/>
      <c r="X7" s="998"/>
      <c r="Y7" s="998"/>
      <c r="Z7" s="661"/>
      <c r="AA7" s="661"/>
      <c r="AB7" s="661"/>
      <c r="AC7" s="661"/>
      <c r="AD7" s="661"/>
      <c r="AE7" s="661"/>
      <c r="AF7" s="661"/>
      <c r="AG7" s="661"/>
      <c r="AH7" s="661"/>
      <c r="AI7" s="661"/>
      <c r="AJ7" s="661"/>
      <c r="AK7" s="661"/>
      <c r="AL7" s="661"/>
      <c r="AM7" s="661"/>
      <c r="AN7" s="661"/>
      <c r="AO7" s="661"/>
      <c r="AP7" s="661"/>
      <c r="AQ7" s="661"/>
      <c r="AR7" s="661"/>
    </row>
    <row r="8" spans="1:44" s="26" customFormat="1">
      <c r="A8" s="1004"/>
      <c r="B8" s="3317" t="s">
        <v>3012</v>
      </c>
      <c r="C8" s="3318" t="s">
        <v>3014</v>
      </c>
      <c r="D8" s="886"/>
      <c r="E8" s="886"/>
      <c r="F8" s="886"/>
      <c r="G8" s="886"/>
      <c r="H8" s="886"/>
      <c r="I8" s="886"/>
      <c r="J8" s="886"/>
      <c r="K8" s="886"/>
      <c r="L8" s="887"/>
      <c r="M8" s="888"/>
      <c r="N8" s="888"/>
      <c r="O8" s="886"/>
      <c r="P8" s="886"/>
      <c r="Q8" s="886"/>
      <c r="R8" s="886"/>
      <c r="S8" s="913"/>
      <c r="T8" s="889">
        <v>2</v>
      </c>
      <c r="U8" s="998"/>
      <c r="V8" s="998"/>
      <c r="W8" s="662"/>
      <c r="X8" s="998"/>
      <c r="Y8" s="99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4"/>
      <c r="B9" s="875"/>
      <c r="C9" s="876">
        <v>100</v>
      </c>
      <c r="D9" s="877">
        <f t="shared" ref="D9:S9" si="7">C9-$T$8</f>
        <v>98</v>
      </c>
      <c r="E9" s="877">
        <f t="shared" si="7"/>
        <v>96</v>
      </c>
      <c r="F9" s="877">
        <f t="shared" si="7"/>
        <v>94</v>
      </c>
      <c r="G9" s="877">
        <f t="shared" si="7"/>
        <v>92</v>
      </c>
      <c r="H9" s="877">
        <f t="shared" si="7"/>
        <v>90</v>
      </c>
      <c r="I9" s="877">
        <f t="shared" si="7"/>
        <v>88</v>
      </c>
      <c r="J9" s="877">
        <f t="shared" si="7"/>
        <v>86</v>
      </c>
      <c r="K9" s="877">
        <f t="shared" si="7"/>
        <v>84</v>
      </c>
      <c r="L9" s="877">
        <f t="shared" si="7"/>
        <v>82</v>
      </c>
      <c r="M9" s="878">
        <f t="shared" si="7"/>
        <v>80</v>
      </c>
      <c r="N9" s="878">
        <f t="shared" si="7"/>
        <v>78</v>
      </c>
      <c r="O9" s="877">
        <f t="shared" si="7"/>
        <v>76</v>
      </c>
      <c r="P9" s="877">
        <f t="shared" si="7"/>
        <v>74</v>
      </c>
      <c r="Q9" s="877">
        <f t="shared" si="7"/>
        <v>72</v>
      </c>
      <c r="R9" s="877">
        <f t="shared" si="7"/>
        <v>70</v>
      </c>
      <c r="S9" s="914">
        <f t="shared" si="7"/>
        <v>68</v>
      </c>
      <c r="T9" s="879"/>
      <c r="U9" s="998"/>
      <c r="V9" s="998"/>
      <c r="W9" s="662"/>
      <c r="X9" s="998"/>
      <c r="Y9" s="998"/>
      <c r="Z9" s="662"/>
      <c r="AA9" s="662"/>
      <c r="AB9" s="662"/>
      <c r="AC9" s="662"/>
      <c r="AD9" s="662"/>
      <c r="AE9" s="662"/>
      <c r="AF9" s="662"/>
      <c r="AG9" s="662"/>
      <c r="AH9" s="662"/>
      <c r="AI9" s="662"/>
      <c r="AJ9" s="662"/>
      <c r="AK9" s="662"/>
      <c r="AL9" s="662"/>
      <c r="AM9" s="662"/>
      <c r="AN9" s="662"/>
      <c r="AO9" s="662"/>
      <c r="AP9" s="662"/>
      <c r="AQ9" s="662"/>
      <c r="AR9" s="662"/>
    </row>
    <row r="10" spans="1:44" s="26" customFormat="1" ht="24">
      <c r="A10" s="1004"/>
      <c r="B10" s="3319" t="s">
        <v>3015</v>
      </c>
      <c r="C10" s="3320" t="s">
        <v>3017</v>
      </c>
      <c r="D10" s="872"/>
      <c r="E10" s="872"/>
      <c r="F10" s="872"/>
      <c r="G10" s="872"/>
      <c r="H10" s="872"/>
      <c r="I10" s="872"/>
      <c r="J10" s="872"/>
      <c r="K10" s="872"/>
      <c r="L10" s="872"/>
      <c r="M10" s="874"/>
      <c r="N10" s="866"/>
      <c r="O10" s="868"/>
      <c r="P10" s="869"/>
      <c r="Q10" s="870"/>
      <c r="R10" s="871"/>
      <c r="S10" s="915"/>
      <c r="T10" s="595">
        <v>2</v>
      </c>
      <c r="U10" s="998"/>
      <c r="V10" s="998"/>
      <c r="W10" s="662"/>
      <c r="X10" s="998"/>
      <c r="Y10" s="99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4"/>
      <c r="B11" s="875"/>
      <c r="C11" s="876">
        <v>100</v>
      </c>
      <c r="D11" s="877">
        <f t="shared" ref="D11:M11" si="8">C11-$T$10</f>
        <v>98</v>
      </c>
      <c r="E11" s="877">
        <f t="shared" si="8"/>
        <v>96</v>
      </c>
      <c r="F11" s="877">
        <f t="shared" si="8"/>
        <v>94</v>
      </c>
      <c r="G11" s="877">
        <f t="shared" si="8"/>
        <v>92</v>
      </c>
      <c r="H11" s="877">
        <f t="shared" si="8"/>
        <v>90</v>
      </c>
      <c r="I11" s="877">
        <f t="shared" si="8"/>
        <v>88</v>
      </c>
      <c r="J11" s="877">
        <f t="shared" si="8"/>
        <v>86</v>
      </c>
      <c r="K11" s="877">
        <f t="shared" si="8"/>
        <v>84</v>
      </c>
      <c r="L11" s="877">
        <f t="shared" si="8"/>
        <v>82</v>
      </c>
      <c r="M11" s="878">
        <f t="shared" si="8"/>
        <v>80</v>
      </c>
      <c r="N11" s="878">
        <f t="shared" ref="N11:S11" si="9">M11-$T$10</f>
        <v>78</v>
      </c>
      <c r="O11" s="877">
        <f t="shared" si="9"/>
        <v>76</v>
      </c>
      <c r="P11" s="877">
        <f t="shared" si="9"/>
        <v>74</v>
      </c>
      <c r="Q11" s="877">
        <f t="shared" si="9"/>
        <v>72</v>
      </c>
      <c r="R11" s="877">
        <f t="shared" si="9"/>
        <v>70</v>
      </c>
      <c r="S11" s="914">
        <f t="shared" si="9"/>
        <v>68</v>
      </c>
      <c r="T11" s="879"/>
      <c r="U11" s="998"/>
      <c r="V11" s="998"/>
      <c r="W11" s="662"/>
      <c r="X11" s="998"/>
      <c r="Y11" s="99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4"/>
      <c r="B12" s="3319" t="s">
        <v>3019</v>
      </c>
      <c r="C12" s="3320" t="s">
        <v>3020</v>
      </c>
      <c r="D12" s="3716" t="s">
        <v>3021</v>
      </c>
      <c r="E12" s="872"/>
      <c r="F12" s="872"/>
      <c r="G12" s="872"/>
      <c r="H12" s="872"/>
      <c r="I12" s="872"/>
      <c r="J12" s="872"/>
      <c r="K12" s="872"/>
      <c r="L12" s="873"/>
      <c r="M12" s="874"/>
      <c r="N12" s="866"/>
      <c r="O12" s="868"/>
      <c r="P12" s="869"/>
      <c r="Q12" s="870"/>
      <c r="R12" s="871"/>
      <c r="S12" s="915"/>
      <c r="T12" s="595">
        <v>2</v>
      </c>
      <c r="U12" s="998"/>
      <c r="V12" s="998"/>
      <c r="W12" s="662"/>
      <c r="X12" s="998"/>
      <c r="Y12" s="99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4"/>
      <c r="B13" s="880"/>
      <c r="C13" s="890">
        <v>100</v>
      </c>
      <c r="D13" s="891">
        <f t="shared" ref="D13:M13" si="10">C13-$T$12</f>
        <v>98</v>
      </c>
      <c r="E13" s="891">
        <f t="shared" si="10"/>
        <v>96</v>
      </c>
      <c r="F13" s="891">
        <f t="shared" si="10"/>
        <v>94</v>
      </c>
      <c r="G13" s="891">
        <f t="shared" si="10"/>
        <v>92</v>
      </c>
      <c r="H13" s="891">
        <f t="shared" si="10"/>
        <v>90</v>
      </c>
      <c r="I13" s="891">
        <f t="shared" si="10"/>
        <v>88</v>
      </c>
      <c r="J13" s="891">
        <f t="shared" si="10"/>
        <v>86</v>
      </c>
      <c r="K13" s="891">
        <f t="shared" si="10"/>
        <v>84</v>
      </c>
      <c r="L13" s="891">
        <f t="shared" si="10"/>
        <v>82</v>
      </c>
      <c r="M13" s="892">
        <f t="shared" si="10"/>
        <v>80</v>
      </c>
      <c r="N13" s="892">
        <f t="shared" ref="N13:S13" si="11">M13-$T$12</f>
        <v>78</v>
      </c>
      <c r="O13" s="891">
        <f t="shared" si="11"/>
        <v>76</v>
      </c>
      <c r="P13" s="891">
        <f t="shared" si="11"/>
        <v>74</v>
      </c>
      <c r="Q13" s="891">
        <f t="shared" si="11"/>
        <v>72</v>
      </c>
      <c r="R13" s="891">
        <f t="shared" si="11"/>
        <v>70</v>
      </c>
      <c r="S13" s="916">
        <f t="shared" si="11"/>
        <v>68</v>
      </c>
      <c r="T13" s="596"/>
      <c r="U13" s="998"/>
      <c r="V13" s="998"/>
      <c r="W13" s="662"/>
      <c r="X13" s="998"/>
      <c r="Y13" s="99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2"/>
      <c r="X14" s="998"/>
      <c r="Y14" s="99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2"/>
      <c r="X15" s="998"/>
      <c r="Y15" s="99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2"/>
      <c r="X16" s="998"/>
      <c r="Y16" s="99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2"/>
      <c r="X17" s="998"/>
      <c r="Y17" s="99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2"/>
      <c r="X18" s="998"/>
      <c r="Y18" s="99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2"/>
      <c r="X19" s="998"/>
      <c r="Y19" s="99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2162</v>
      </c>
      <c r="B20" s="1521" t="s">
        <v>2163</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2164</v>
      </c>
      <c r="G22" s="1292"/>
      <c r="H22" s="1292"/>
      <c r="I22" s="1292"/>
      <c r="J22" s="1293"/>
      <c r="K22" s="37"/>
      <c r="L22" s="37"/>
      <c r="M22" s="37"/>
      <c r="N22" s="37"/>
      <c r="O22" s="37"/>
      <c r="P22" s="37"/>
      <c r="Q22" s="37"/>
      <c r="R22" s="645"/>
      <c r="S22" s="31"/>
      <c r="T22" s="31"/>
      <c r="U22" s="997"/>
      <c r="V22" s="998"/>
      <c r="W22" s="662"/>
      <c r="X22" s="662"/>
      <c r="Y22" s="662"/>
      <c r="Z22" s="662"/>
    </row>
    <row r="23" spans="1:45" ht="16.5" thickBot="1">
      <c r="A23" s="81" t="s">
        <v>2165</v>
      </c>
      <c r="B23" s="224">
        <f ca="1">IF(F23="——",IF(C23="万元",T25,S25),IF(C23="万元",T25-H23,S25-H23))</f>
        <v>15562394</v>
      </c>
      <c r="C23" s="1523" t="str">
        <f>'数据-取费表'!B3</f>
        <v>元</v>
      </c>
      <c r="D23" s="37"/>
      <c r="E23" s="37"/>
      <c r="F23" s="1524" t="s">
        <v>1184</v>
      </c>
      <c r="G23" s="1294"/>
      <c r="H23" s="575" t="e">
        <f ca="1">SUMIF(INDIRECT("'"&amp;J23&amp;"'"&amp;"!A:A"),"承租人权益价值",INDIRECT("'"&amp;J23&amp;"'"&amp;"!c:c"))</f>
        <v>#REF!</v>
      </c>
      <c r="I23" s="575" t="str">
        <f>C2</f>
        <v>元</v>
      </c>
      <c r="J23" s="1525"/>
      <c r="K23" s="37"/>
      <c r="L23" s="37"/>
      <c r="M23" s="37"/>
      <c r="N23" s="37"/>
      <c r="O23" s="37"/>
      <c r="P23" s="37"/>
      <c r="Q23" s="37"/>
      <c r="R23" s="645"/>
      <c r="S23" s="31"/>
      <c r="T23" s="31"/>
      <c r="U23" s="997"/>
      <c r="V23" s="998"/>
      <c r="W23" s="662"/>
      <c r="X23" s="662"/>
      <c r="Y23" s="662"/>
      <c r="Z23" s="662"/>
    </row>
    <row r="24" spans="1:45" ht="15.75">
      <c r="A24" s="1523" t="s">
        <v>2166</v>
      </c>
      <c r="B24" s="224">
        <f ca="1">ROUND(B23*10000/B25,0)</f>
        <v>340750016</v>
      </c>
      <c r="C24" s="864"/>
      <c r="D24" s="37"/>
      <c r="E24" s="37"/>
      <c r="F24" s="37"/>
      <c r="G24" s="37"/>
      <c r="H24" s="37"/>
      <c r="I24" s="37"/>
      <c r="J24" s="37"/>
      <c r="K24" s="37"/>
      <c r="L24" s="37"/>
      <c r="M24" s="37"/>
      <c r="N24" s="37"/>
      <c r="O24" s="37"/>
      <c r="P24" s="37"/>
      <c r="Q24" s="37"/>
      <c r="R24" s="645"/>
      <c r="S24" s="13" t="s">
        <v>2167</v>
      </c>
      <c r="T24" s="1300" t="s">
        <v>2168</v>
      </c>
      <c r="U24" s="2213" t="s">
        <v>2169</v>
      </c>
      <c r="V24" s="2955"/>
      <c r="W24" s="2956" t="s">
        <v>2170</v>
      </c>
      <c r="X24" s="2213" t="s">
        <v>2171</v>
      </c>
      <c r="Y24" s="2955"/>
      <c r="Z24" s="2957" t="s">
        <v>2170</v>
      </c>
    </row>
    <row r="25" spans="1:45">
      <c r="A25" s="250" t="s">
        <v>2172</v>
      </c>
      <c r="B25" s="13">
        <f>SUM(B27:B10000)</f>
        <v>456.71000000000004</v>
      </c>
      <c r="C25" s="3599" t="s">
        <v>45</v>
      </c>
      <c r="D25" s="3600"/>
      <c r="E25" s="3600"/>
      <c r="F25" s="3600"/>
      <c r="G25" s="3600"/>
      <c r="H25" s="3600"/>
      <c r="I25" s="3600"/>
      <c r="J25" s="3600"/>
      <c r="K25" s="3600"/>
      <c r="L25" s="3600"/>
      <c r="M25" s="3600"/>
      <c r="N25" s="3600"/>
      <c r="O25" s="3600"/>
      <c r="P25" s="3600"/>
      <c r="Q25" s="3601"/>
      <c r="R25" s="597">
        <f ca="1">IF(C23="万元",ROUND(T25*10000/B25,0),ROUND(S25/B25,0))</f>
        <v>34075</v>
      </c>
      <c r="S25" s="13">
        <f ca="1">SUM(S27:S10000)</f>
        <v>15562394</v>
      </c>
      <c r="T25" s="13">
        <f ca="1">SUM(T27:T10000)</f>
        <v>1556</v>
      </c>
      <c r="U25" s="17">
        <f>SUM(U27:U10000)</f>
        <v>0</v>
      </c>
      <c r="V25" s="17">
        <f>SUM(V27:V10000)</f>
        <v>0</v>
      </c>
      <c r="W25" s="2959"/>
      <c r="X25" s="17">
        <f>SUM(X27:X10000)</f>
        <v>0</v>
      </c>
      <c r="Y25" s="17">
        <f>SUM(Y27:Y10000)</f>
        <v>0</v>
      </c>
      <c r="Z25" s="1526"/>
    </row>
    <row r="26" spans="1:45" s="11" customFormat="1" ht="24">
      <c r="A26" s="10" t="s">
        <v>2173</v>
      </c>
      <c r="B26" s="10" t="s">
        <v>2174</v>
      </c>
      <c r="C26" s="10" t="s">
        <v>2175</v>
      </c>
      <c r="D26" s="10" t="str">
        <f>B8</f>
        <v>楼层</v>
      </c>
      <c r="E26" s="10" t="s">
        <v>2175</v>
      </c>
      <c r="F26" s="10" t="str">
        <f>B10</f>
        <v>装修</v>
      </c>
      <c r="G26" s="10" t="s">
        <v>2175</v>
      </c>
      <c r="H26" s="10" t="str">
        <f>B12</f>
        <v>朝向</v>
      </c>
      <c r="I26" s="10" t="s">
        <v>2175</v>
      </c>
      <c r="J26" s="10" t="str">
        <f>B14</f>
        <v>修正项5</v>
      </c>
      <c r="K26" s="10" t="s">
        <v>2175</v>
      </c>
      <c r="L26" s="10" t="str">
        <f>B16</f>
        <v>修正项6</v>
      </c>
      <c r="M26" s="10" t="s">
        <v>2175</v>
      </c>
      <c r="N26" s="10" t="str">
        <f>B18</f>
        <v>修正项7</v>
      </c>
      <c r="O26" s="10" t="s">
        <v>2175</v>
      </c>
      <c r="P26" s="10" t="str">
        <f>B20</f>
        <v>楼层</v>
      </c>
      <c r="Q26" s="10" t="s">
        <v>2175</v>
      </c>
      <c r="R26" s="598" t="s">
        <v>2176</v>
      </c>
      <c r="S26" s="10" t="s">
        <v>2177</v>
      </c>
      <c r="T26" s="10" t="s">
        <v>2177</v>
      </c>
      <c r="U26" s="684" t="s">
        <v>2178</v>
      </c>
      <c r="V26" s="684" t="s">
        <v>2179</v>
      </c>
      <c r="W26" s="10" t="s">
        <v>2180</v>
      </c>
      <c r="X26" s="684" t="s">
        <v>2178</v>
      </c>
      <c r="Y26" s="684" t="s">
        <v>2179</v>
      </c>
      <c r="Z26" s="10" t="s">
        <v>2180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1301</v>
      </c>
      <c r="B27" s="600">
        <f>'数据-取费表'!E5</f>
        <v>259.41000000000003</v>
      </c>
      <c r="C27" s="899">
        <v>1</v>
      </c>
      <c r="D27" s="601" t="s">
        <v>3013</v>
      </c>
      <c r="E27" s="899">
        <v>1</v>
      </c>
      <c r="F27" s="601" t="s">
        <v>3016</v>
      </c>
      <c r="G27" s="899">
        <v>1</v>
      </c>
      <c r="H27" s="601"/>
      <c r="I27" s="899">
        <v>1</v>
      </c>
      <c r="J27" s="601"/>
      <c r="K27" s="899">
        <v>1</v>
      </c>
      <c r="L27" s="601"/>
      <c r="M27" s="899">
        <v>1</v>
      </c>
      <c r="N27" s="601"/>
      <c r="O27" s="899">
        <v>1</v>
      </c>
      <c r="P27" s="601"/>
      <c r="Q27" s="899">
        <v>1</v>
      </c>
      <c r="R27" s="905">
        <f ca="1">'结果表 (1修多)'!G20</f>
        <v>34075</v>
      </c>
      <c r="S27" s="600">
        <f ca="1">ROUND(R27*B27,0)</f>
        <v>8839396</v>
      </c>
      <c r="T27" s="600">
        <f ca="1">ROUND(R27*B27/10000,0)</f>
        <v>884</v>
      </c>
      <c r="U27" s="2958">
        <f>ROUND(W27*B27,0)</f>
        <v>0</v>
      </c>
      <c r="V27" s="2958">
        <f>ROUND(W27*B27/10000,0)</f>
        <v>0</v>
      </c>
      <c r="W27" s="995"/>
      <c r="X27" s="2958">
        <f>ROUND(Z27*B27,0)</f>
        <v>0</v>
      </c>
      <c r="Y27" s="2958">
        <f>ROUND(Z27*B27/10000,0)</f>
        <v>0</v>
      </c>
      <c r="Z27" s="995"/>
      <c r="AA27" s="664"/>
      <c r="AB27" s="664"/>
      <c r="AC27" s="664"/>
      <c r="AD27" s="664"/>
      <c r="AE27" s="664"/>
      <c r="AF27" s="664"/>
      <c r="AG27" s="664"/>
      <c r="AH27" s="664"/>
      <c r="AI27" s="664"/>
      <c r="AJ27" s="664"/>
      <c r="AK27" s="664"/>
      <c r="AL27" s="664"/>
      <c r="AM27" s="664"/>
      <c r="AN27" s="664"/>
      <c r="AO27" s="664"/>
      <c r="AP27" s="664"/>
      <c r="AQ27" s="664"/>
      <c r="AR27" s="664"/>
    </row>
    <row r="28" spans="1:45">
      <c r="A28" s="35">
        <v>1302</v>
      </c>
      <c r="B28" s="20">
        <v>197.3</v>
      </c>
      <c r="C28" s="13">
        <f t="shared" ref="C28:C91" si="14">IF(B28="",1,(LOOKUP(B28,$6:$6,$7:$7)-LOOKUP($B$27,$6:$6,$7:$7)+100)/100)</f>
        <v>1</v>
      </c>
      <c r="D28" s="601" t="s">
        <v>3013</v>
      </c>
      <c r="E28" s="13">
        <f t="shared" ref="E28:E91" si="15">(SUMIF($8:$8,D28,$9:$9)-SUMIF($8:$8,$D$27,$9:$9)+100)/100</f>
        <v>1</v>
      </c>
      <c r="F28" s="601" t="s">
        <v>3016</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34075</v>
      </c>
      <c r="S28" s="250">
        <f ca="1">ROUND(R28*B28,0)</f>
        <v>6722998</v>
      </c>
      <c r="T28" s="899">
        <f ca="1">ROUND(R28*B28/10000,0)</f>
        <v>672</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35"/>
      <c r="B29" s="20"/>
      <c r="C29" s="13">
        <f t="shared" si="14"/>
        <v>1</v>
      </c>
      <c r="D29" s="601"/>
      <c r="E29" s="13">
        <f t="shared" si="15"/>
        <v>0</v>
      </c>
      <c r="F29" s="601"/>
      <c r="G29" s="13">
        <f t="shared" si="16"/>
        <v>0</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99">
        <f t="shared" ref="T29:T92" si="28">ROUND(R29*B29/10000,0)</f>
        <v>0</v>
      </c>
      <c r="U29" s="2958">
        <f t="shared" si="22"/>
        <v>0</v>
      </c>
      <c r="V29" s="2958">
        <f t="shared" si="23"/>
        <v>0</v>
      </c>
      <c r="W29" s="996"/>
      <c r="X29" s="2958">
        <f t="shared" si="24"/>
        <v>0</v>
      </c>
      <c r="Y29" s="2958">
        <f t="shared" si="25"/>
        <v>0</v>
      </c>
      <c r="Z29" s="996"/>
    </row>
    <row r="30" spans="1:45">
      <c r="A30" s="35"/>
      <c r="B30" s="20"/>
      <c r="C30" s="13">
        <f t="shared" si="14"/>
        <v>1</v>
      </c>
      <c r="D30" s="601"/>
      <c r="E30" s="13">
        <f t="shared" si="15"/>
        <v>0</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99">
        <f t="shared" si="28"/>
        <v>0</v>
      </c>
      <c r="U30" s="2958">
        <f t="shared" si="22"/>
        <v>0</v>
      </c>
      <c r="V30" s="2958">
        <f t="shared" si="23"/>
        <v>0</v>
      </c>
      <c r="W30" s="996"/>
      <c r="X30" s="2958">
        <f t="shared" si="24"/>
        <v>0</v>
      </c>
      <c r="Y30" s="2958">
        <f t="shared" si="25"/>
        <v>0</v>
      </c>
      <c r="Z30" s="996"/>
    </row>
    <row r="31" spans="1:45">
      <c r="A31" s="35"/>
      <c r="B31" s="20"/>
      <c r="C31" s="13">
        <f t="shared" si="14"/>
        <v>1</v>
      </c>
      <c r="D31" s="601"/>
      <c r="E31" s="13">
        <f t="shared" si="15"/>
        <v>0</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99">
        <f t="shared" si="28"/>
        <v>0</v>
      </c>
      <c r="U31" s="2958">
        <f t="shared" si="22"/>
        <v>0</v>
      </c>
      <c r="V31" s="2958">
        <f t="shared" si="23"/>
        <v>0</v>
      </c>
      <c r="W31" s="996"/>
      <c r="X31" s="2958">
        <f t="shared" si="24"/>
        <v>0</v>
      </c>
      <c r="Y31" s="2958">
        <f t="shared" si="25"/>
        <v>0</v>
      </c>
      <c r="Z31" s="996"/>
    </row>
    <row r="32" spans="1:45">
      <c r="A32" s="35"/>
      <c r="B32" s="20"/>
      <c r="C32" s="13">
        <f t="shared" si="14"/>
        <v>1</v>
      </c>
      <c r="D32" s="601"/>
      <c r="E32" s="13">
        <f t="shared" si="15"/>
        <v>0</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99">
        <f t="shared" si="28"/>
        <v>0</v>
      </c>
      <c r="U32" s="2958">
        <f t="shared" si="22"/>
        <v>0</v>
      </c>
      <c r="V32" s="2958">
        <f t="shared" si="23"/>
        <v>0</v>
      </c>
      <c r="W32" s="996"/>
      <c r="X32" s="2958">
        <f t="shared" si="24"/>
        <v>0</v>
      </c>
      <c r="Y32" s="2958">
        <f t="shared" si="25"/>
        <v>0</v>
      </c>
      <c r="Z32" s="996"/>
    </row>
    <row r="33" spans="1:26">
      <c r="A33" s="35"/>
      <c r="B33" s="20"/>
      <c r="C33" s="13">
        <f t="shared" si="14"/>
        <v>1</v>
      </c>
      <c r="D33" s="601"/>
      <c r="E33" s="13">
        <f t="shared" si="15"/>
        <v>0</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99">
        <f t="shared" si="28"/>
        <v>0</v>
      </c>
      <c r="U33" s="2958">
        <f t="shared" si="22"/>
        <v>0</v>
      </c>
      <c r="V33" s="2958">
        <f t="shared" si="23"/>
        <v>0</v>
      </c>
      <c r="W33" s="996"/>
      <c r="X33" s="2958">
        <f t="shared" si="24"/>
        <v>0</v>
      </c>
      <c r="Y33" s="2958">
        <f t="shared" si="25"/>
        <v>0</v>
      </c>
      <c r="Z33" s="996"/>
    </row>
    <row r="34" spans="1:26">
      <c r="A34" s="35"/>
      <c r="B34" s="20"/>
      <c r="C34" s="13">
        <f t="shared" si="14"/>
        <v>1</v>
      </c>
      <c r="D34" s="601"/>
      <c r="E34" s="13">
        <f t="shared" si="15"/>
        <v>0</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1"/>
      <c r="E35" s="13">
        <f t="shared" si="15"/>
        <v>0</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1"/>
      <c r="E36" s="13">
        <f t="shared" si="15"/>
        <v>0</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1"/>
      <c r="E37" s="13">
        <f t="shared" si="15"/>
        <v>0</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2182</v>
      </c>
      <c r="C1" s="1607"/>
      <c r="D1" s="1608"/>
      <c r="E1" s="1609" t="s">
        <v>1167</v>
      </c>
      <c r="F1" s="1610" t="s">
        <v>2183</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t="e">
        <f ca="1">IF(D2="——",IF(C2="元",ROUND(C49*D3,0),ROUND(C49*D3/10000,0)),IF(C2="元",ROUND(C49*D3,0),ROUND(C49*D3/10000,0))-E2)</f>
        <v>#DIV/0!</v>
      </c>
      <c r="C2" s="1619" t="str">
        <f>'数据-取费表'!B3</f>
        <v>元</v>
      </c>
      <c r="D2" s="1620"/>
      <c r="E2" s="1621" t="e">
        <f ca="1">SUMIF(INDIRECT("'"&amp;G2&amp;"'"&amp;"!A:A"),"承租人权益价值",INDIRECT("'"&amp;G2&amp;"'"&amp;"!c:c"))</f>
        <v>#REF!</v>
      </c>
      <c r="F2" s="1622" t="str">
        <f>C2</f>
        <v>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1858</v>
      </c>
      <c r="B3" s="1628" t="e">
        <f ca="1">ROUND(IF(D2="——",C49,IF(C2="万元",B2*10000/D3,B2/D3)),0)</f>
        <v>#DIV/0!</v>
      </c>
      <c r="C3" s="1628" t="s">
        <v>2184</v>
      </c>
      <c r="D3" s="1628">
        <f>IF(C1="仅计算典型户型",'数据-取费表'!E5,'数据-取费表'!B5)</f>
        <v>259.41000000000003</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2185</v>
      </c>
      <c r="B4" s="1632"/>
      <c r="C4" s="3638" t="s">
        <v>2186</v>
      </c>
      <c r="D4" s="3639"/>
      <c r="E4" s="3640" t="s">
        <v>2187</v>
      </c>
      <c r="F4" s="3641"/>
      <c r="G4" s="3638" t="s">
        <v>2188</v>
      </c>
      <c r="H4" s="3639"/>
      <c r="I4" s="3638" t="s">
        <v>2189</v>
      </c>
      <c r="J4" s="3639"/>
      <c r="K4" s="1633" t="s">
        <v>2190</v>
      </c>
      <c r="L4" s="2964"/>
      <c r="M4" s="2965"/>
      <c r="N4" s="2965"/>
      <c r="O4" s="2965"/>
      <c r="P4" s="3642" t="s">
        <v>2191</v>
      </c>
      <c r="Q4" s="3643"/>
      <c r="R4" s="3627" t="s">
        <v>2187</v>
      </c>
      <c r="S4" s="3628"/>
      <c r="T4" s="3627" t="s">
        <v>2188</v>
      </c>
      <c r="U4" s="3628"/>
      <c r="V4" s="3648" t="s">
        <v>2189</v>
      </c>
      <c r="W4" s="3648"/>
      <c r="X4" s="1634"/>
      <c r="Y4" s="3627" t="s">
        <v>2191</v>
      </c>
      <c r="Z4" s="3628"/>
      <c r="AA4" s="3635" t="s">
        <v>2187</v>
      </c>
      <c r="AB4" s="3635" t="s">
        <v>2188</v>
      </c>
      <c r="AC4" s="3635" t="s">
        <v>2189</v>
      </c>
    </row>
    <row r="5" spans="1:29" ht="15">
      <c r="A5" s="1636"/>
      <c r="B5" s="1637"/>
      <c r="C5" s="3623" t="s">
        <v>2192</v>
      </c>
      <c r="D5" s="3624"/>
      <c r="E5" s="3649" t="s">
        <v>2193</v>
      </c>
      <c r="F5" s="3650"/>
      <c r="G5" s="3623" t="s">
        <v>2194</v>
      </c>
      <c r="H5" s="3624"/>
      <c r="I5" s="3623" t="s">
        <v>2195</v>
      </c>
      <c r="J5" s="3624"/>
      <c r="K5" s="1638"/>
      <c r="L5" s="2964"/>
      <c r="M5" s="2965"/>
      <c r="N5" s="2965"/>
      <c r="O5" s="2965"/>
      <c r="P5" s="3644"/>
      <c r="Q5" s="3645"/>
      <c r="R5" s="3629"/>
      <c r="S5" s="3630"/>
      <c r="T5" s="3629"/>
      <c r="U5" s="3630"/>
      <c r="V5" s="3648"/>
      <c r="W5" s="3648"/>
      <c r="X5" s="1634"/>
      <c r="Y5" s="3629"/>
      <c r="Z5" s="3630"/>
      <c r="AA5" s="3636"/>
      <c r="AB5" s="3636"/>
      <c r="AC5" s="3636"/>
    </row>
    <row r="6" spans="1:29" ht="15.75" thickBot="1">
      <c r="A6" s="1639"/>
      <c r="B6" s="1640"/>
      <c r="C6" s="3621" t="s">
        <v>2196</v>
      </c>
      <c r="D6" s="3622"/>
      <c r="E6" s="3651" t="s">
        <v>2196</v>
      </c>
      <c r="F6" s="3652"/>
      <c r="G6" s="3621" t="s">
        <v>2196</v>
      </c>
      <c r="H6" s="3622"/>
      <c r="I6" s="3621" t="s">
        <v>2196</v>
      </c>
      <c r="J6" s="3622"/>
      <c r="K6" s="1638" t="s">
        <v>2197</v>
      </c>
      <c r="L6" s="2964"/>
      <c r="M6" s="2965"/>
      <c r="N6" s="2965"/>
      <c r="O6" s="2965"/>
      <c r="P6" s="3646"/>
      <c r="Q6" s="3647"/>
      <c r="R6" s="3629"/>
      <c r="S6" s="3630"/>
      <c r="T6" s="3631"/>
      <c r="U6" s="3632"/>
      <c r="V6" s="3648"/>
      <c r="W6" s="3648"/>
      <c r="X6" s="1634"/>
      <c r="Y6" s="3631"/>
      <c r="Z6" s="3632"/>
      <c r="AA6" s="3637"/>
      <c r="AB6" s="3637"/>
      <c r="AC6" s="3637"/>
    </row>
    <row r="7" spans="1:29" s="1653" customFormat="1" ht="15.75" thickBot="1">
      <c r="A7" s="1641" t="s">
        <v>2198</v>
      </c>
      <c r="B7" s="1642"/>
      <c r="C7" s="1643">
        <f>'数据-取费表'!B2</f>
        <v>44636</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25" t="s">
        <v>2199</v>
      </c>
      <c r="Q7" s="3633"/>
      <c r="R7" s="1649" t="s">
        <v>34</v>
      </c>
      <c r="S7" s="1650">
        <f t="shared" ref="S7:S15" si="0">F7</f>
        <v>0</v>
      </c>
      <c r="T7" s="1649" t="s">
        <v>34</v>
      </c>
      <c r="U7" s="1650">
        <f t="shared" ref="U7:U15" si="1">H7</f>
        <v>0</v>
      </c>
      <c r="V7" s="1649" t="s">
        <v>34</v>
      </c>
      <c r="W7" s="1650">
        <f t="shared" ref="W7:W15" si="2">J7</f>
        <v>0</v>
      </c>
      <c r="X7" s="1651"/>
      <c r="Y7" s="3625" t="s">
        <v>2199</v>
      </c>
      <c r="Z7" s="3626"/>
      <c r="AA7" s="1652" t="e">
        <f>D7/F7</f>
        <v>#DIV/0!</v>
      </c>
      <c r="AB7" s="1652" t="e">
        <f>D7/H7</f>
        <v>#DIV/0!</v>
      </c>
      <c r="AC7" s="1652" t="e">
        <f>D7/J7</f>
        <v>#DIV/0!</v>
      </c>
    </row>
    <row r="8" spans="1:29" s="1653" customFormat="1" ht="15.75" thickBot="1">
      <c r="A8" s="1641" t="s">
        <v>2200</v>
      </c>
      <c r="B8" s="1642"/>
      <c r="C8" s="1654" t="s">
        <v>2201</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25" t="s">
        <v>2202</v>
      </c>
      <c r="Q8" s="3626"/>
      <c r="R8" s="1649" t="s">
        <v>34</v>
      </c>
      <c r="S8" s="1650">
        <f t="shared" si="0"/>
        <v>0</v>
      </c>
      <c r="T8" s="1649" t="s">
        <v>34</v>
      </c>
      <c r="U8" s="1650">
        <f t="shared" si="1"/>
        <v>0</v>
      </c>
      <c r="V8" s="1649" t="s">
        <v>34</v>
      </c>
      <c r="W8" s="1650">
        <f t="shared" si="2"/>
        <v>0</v>
      </c>
      <c r="X8" s="1651"/>
      <c r="Y8" s="3625" t="s">
        <v>2202</v>
      </c>
      <c r="Z8" s="3626"/>
      <c r="AA8" s="1652" t="e">
        <f t="shared" ref="AA8:AA46" si="3">D8/F8</f>
        <v>#DIV/0!</v>
      </c>
      <c r="AB8" s="1652" t="e">
        <f t="shared" ref="AB8:AB46" si="4">D8/H8</f>
        <v>#DIV/0!</v>
      </c>
      <c r="AC8" s="1652" t="e">
        <f t="shared" ref="AC8:AC46" si="5">D8/J8</f>
        <v>#DIV/0!</v>
      </c>
    </row>
    <row r="9" spans="1:29" s="1653" customFormat="1">
      <c r="A9" s="1604" t="s">
        <v>2203</v>
      </c>
      <c r="B9" s="1656" t="s">
        <v>2204</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34" t="s">
        <v>2205</v>
      </c>
      <c r="Q9" s="1603" t="str">
        <f t="shared" ref="Q9:Q15" si="6">B9</f>
        <v>用途</v>
      </c>
      <c r="R9" s="1649" t="s">
        <v>25</v>
      </c>
      <c r="S9" s="1650">
        <f t="shared" si="0"/>
        <v>100</v>
      </c>
      <c r="T9" s="1649" t="s">
        <v>25</v>
      </c>
      <c r="U9" s="1650">
        <f t="shared" si="1"/>
        <v>100</v>
      </c>
      <c r="V9" s="1649" t="s">
        <v>25</v>
      </c>
      <c r="W9" s="1650">
        <f t="shared" si="2"/>
        <v>100</v>
      </c>
      <c r="X9" s="1651"/>
      <c r="Y9" s="3446" t="s">
        <v>2206</v>
      </c>
      <c r="Z9" s="1662" t="str">
        <f t="shared" ref="Z9:Z15" si="7">Q9</f>
        <v>用途</v>
      </c>
      <c r="AA9" s="1652">
        <f t="shared" si="3"/>
        <v>1</v>
      </c>
      <c r="AB9" s="1652">
        <f t="shared" si="4"/>
        <v>1</v>
      </c>
      <c r="AC9" s="1652">
        <f t="shared" si="5"/>
        <v>1</v>
      </c>
    </row>
    <row r="10" spans="1:29" s="1670" customFormat="1" ht="27">
      <c r="A10" s="1663"/>
      <c r="B10" s="1664" t="s">
        <v>2207</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34"/>
      <c r="Q10" s="1603" t="str">
        <f t="shared" si="6"/>
        <v>土地使用年限（年）</v>
      </c>
      <c r="R10" s="1649" t="s">
        <v>25</v>
      </c>
      <c r="S10" s="1650">
        <f t="shared" si="0"/>
        <v>100</v>
      </c>
      <c r="T10" s="1649" t="s">
        <v>25</v>
      </c>
      <c r="U10" s="1650">
        <f t="shared" si="1"/>
        <v>100</v>
      </c>
      <c r="V10" s="1649" t="s">
        <v>25</v>
      </c>
      <c r="W10" s="1650">
        <f t="shared" si="2"/>
        <v>100</v>
      </c>
      <c r="X10" s="1651"/>
      <c r="Y10" s="3446"/>
      <c r="Z10" s="1662" t="str">
        <f t="shared" si="7"/>
        <v>土地使用年限（年）</v>
      </c>
      <c r="AA10" s="1652">
        <f t="shared" si="3"/>
        <v>1</v>
      </c>
      <c r="AB10" s="1652">
        <f t="shared" si="4"/>
        <v>1</v>
      </c>
      <c r="AC10" s="1652">
        <f t="shared" si="5"/>
        <v>1</v>
      </c>
    </row>
    <row r="11" spans="1:29" ht="15">
      <c r="A11" s="1671"/>
      <c r="B11" s="1664" t="s">
        <v>2208</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34"/>
      <c r="Q11" s="1603" t="str">
        <f t="shared" si="6"/>
        <v>容积率</v>
      </c>
      <c r="R11" s="1649" t="s">
        <v>28</v>
      </c>
      <c r="S11" s="1650" t="e">
        <f t="shared" si="0"/>
        <v>#N/A</v>
      </c>
      <c r="T11" s="1649" t="s">
        <v>28</v>
      </c>
      <c r="U11" s="1650" t="e">
        <f t="shared" si="1"/>
        <v>#N/A</v>
      </c>
      <c r="V11" s="1649" t="s">
        <v>28</v>
      </c>
      <c r="W11" s="1650" t="e">
        <f t="shared" si="2"/>
        <v>#N/A</v>
      </c>
      <c r="X11" s="1651"/>
      <c r="Y11" s="3446"/>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34"/>
      <c r="Q12" s="1603">
        <f t="shared" si="6"/>
        <v>111</v>
      </c>
      <c r="R12" s="1649" t="s">
        <v>28</v>
      </c>
      <c r="S12" s="1650">
        <f t="shared" si="0"/>
        <v>100</v>
      </c>
      <c r="T12" s="1649" t="s">
        <v>28</v>
      </c>
      <c r="U12" s="1650">
        <f t="shared" si="1"/>
        <v>100</v>
      </c>
      <c r="V12" s="1649" t="s">
        <v>28</v>
      </c>
      <c r="W12" s="1650">
        <f t="shared" si="2"/>
        <v>100</v>
      </c>
      <c r="X12" s="1651"/>
      <c r="Y12" s="3446"/>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34"/>
      <c r="Q13" s="1603">
        <f t="shared" si="6"/>
        <v>111</v>
      </c>
      <c r="R13" s="1649" t="s">
        <v>28</v>
      </c>
      <c r="S13" s="1650">
        <f t="shared" si="0"/>
        <v>100</v>
      </c>
      <c r="T13" s="1649" t="s">
        <v>28</v>
      </c>
      <c r="U13" s="1650">
        <f t="shared" si="1"/>
        <v>100</v>
      </c>
      <c r="V13" s="1649" t="s">
        <v>28</v>
      </c>
      <c r="W13" s="1650">
        <f t="shared" si="2"/>
        <v>100</v>
      </c>
      <c r="X13" s="1651"/>
      <c r="Y13" s="3446"/>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34"/>
      <c r="Q14" s="1603">
        <f t="shared" si="6"/>
        <v>111</v>
      </c>
      <c r="R14" s="1649" t="s">
        <v>28</v>
      </c>
      <c r="S14" s="1650">
        <f t="shared" si="0"/>
        <v>100</v>
      </c>
      <c r="T14" s="1649" t="s">
        <v>28</v>
      </c>
      <c r="U14" s="1650">
        <f t="shared" si="1"/>
        <v>100</v>
      </c>
      <c r="V14" s="1649" t="s">
        <v>28</v>
      </c>
      <c r="W14" s="1650">
        <f t="shared" si="2"/>
        <v>100</v>
      </c>
      <c r="X14" s="1651"/>
      <c r="Y14" s="3446"/>
      <c r="Z14" s="1662">
        <f t="shared" si="7"/>
        <v>111</v>
      </c>
      <c r="AA14" s="1652">
        <f t="shared" si="3"/>
        <v>1</v>
      </c>
      <c r="AB14" s="1652">
        <f t="shared" si="4"/>
        <v>1</v>
      </c>
      <c r="AC14" s="1652">
        <f t="shared" si="5"/>
        <v>1</v>
      </c>
    </row>
    <row r="15" spans="1:29" ht="99.75">
      <c r="A15" s="1686" t="s">
        <v>2209</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12" t="s">
        <v>2210</v>
      </c>
      <c r="Q15" s="1584" t="str">
        <f t="shared" si="6"/>
        <v>居住社区成熟度</v>
      </c>
      <c r="R15" s="1694" t="s">
        <v>28</v>
      </c>
      <c r="S15" s="1695">
        <f t="shared" si="0"/>
        <v>100</v>
      </c>
      <c r="T15" s="1694" t="s">
        <v>28</v>
      </c>
      <c r="U15" s="1695">
        <f t="shared" si="1"/>
        <v>100</v>
      </c>
      <c r="V15" s="1694" t="s">
        <v>28</v>
      </c>
      <c r="W15" s="1695">
        <f t="shared" si="2"/>
        <v>100</v>
      </c>
      <c r="X15" s="1634"/>
      <c r="Y15" s="3614" t="s">
        <v>2210</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13"/>
      <c r="Q16" s="1584"/>
      <c r="R16" s="1694"/>
      <c r="S16" s="1695"/>
      <c r="T16" s="1694"/>
      <c r="U16" s="1695"/>
      <c r="V16" s="1694"/>
      <c r="W16" s="1695"/>
      <c r="X16" s="1634"/>
      <c r="Y16" s="3615"/>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13"/>
      <c r="Q17" s="1584" t="str">
        <f>B17</f>
        <v>交通便捷度</v>
      </c>
      <c r="R17" s="1694" t="s">
        <v>28</v>
      </c>
      <c r="S17" s="1695">
        <f>F17</f>
        <v>100</v>
      </c>
      <c r="T17" s="1694" t="s">
        <v>28</v>
      </c>
      <c r="U17" s="1695">
        <f>H17</f>
        <v>100</v>
      </c>
      <c r="V17" s="1694" t="s">
        <v>28</v>
      </c>
      <c r="W17" s="1695">
        <f>J17</f>
        <v>100</v>
      </c>
      <c r="X17" s="1634"/>
      <c r="Y17" s="3615"/>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13"/>
      <c r="Q18" s="1584"/>
      <c r="R18" s="1694"/>
      <c r="S18" s="1695"/>
      <c r="T18" s="1694"/>
      <c r="U18" s="1695"/>
      <c r="V18" s="1694"/>
      <c r="W18" s="1695"/>
      <c r="X18" s="1634"/>
      <c r="Y18" s="3615"/>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13"/>
      <c r="Q19" s="1584" t="str">
        <f>B19</f>
        <v>公共配套设施</v>
      </c>
      <c r="R19" s="1694" t="s">
        <v>28</v>
      </c>
      <c r="S19" s="1695">
        <f>F19</f>
        <v>100</v>
      </c>
      <c r="T19" s="1694" t="s">
        <v>28</v>
      </c>
      <c r="U19" s="1695">
        <f>H19</f>
        <v>100</v>
      </c>
      <c r="V19" s="1694" t="s">
        <v>28</v>
      </c>
      <c r="W19" s="1695">
        <f>J19</f>
        <v>100</v>
      </c>
      <c r="X19" s="1634"/>
      <c r="Y19" s="3615"/>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13"/>
      <c r="Q20" s="1584"/>
      <c r="R20" s="1694"/>
      <c r="S20" s="1695"/>
      <c r="T20" s="1694"/>
      <c r="U20" s="1695"/>
      <c r="V20" s="1694"/>
      <c r="W20" s="1695"/>
      <c r="X20" s="1634"/>
      <c r="Y20" s="3615"/>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13"/>
      <c r="Q21" s="1584" t="str">
        <f>B21</f>
        <v>基础设施水平</v>
      </c>
      <c r="R21" s="1694" t="s">
        <v>28</v>
      </c>
      <c r="S21" s="1695">
        <f>F21</f>
        <v>100</v>
      </c>
      <c r="T21" s="1694" t="s">
        <v>28</v>
      </c>
      <c r="U21" s="1695">
        <f>H21</f>
        <v>100</v>
      </c>
      <c r="V21" s="1694" t="s">
        <v>28</v>
      </c>
      <c r="W21" s="1695">
        <f>J21</f>
        <v>100</v>
      </c>
      <c r="X21" s="1634"/>
      <c r="Y21" s="3615"/>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13"/>
      <c r="Q22" s="1584"/>
      <c r="R22" s="1694"/>
      <c r="S22" s="1695"/>
      <c r="T22" s="1694"/>
      <c r="U22" s="1695"/>
      <c r="V22" s="1694"/>
      <c r="W22" s="1695"/>
      <c r="X22" s="1634"/>
      <c r="Y22" s="3615"/>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13"/>
      <c r="Q23" s="1584" t="str">
        <f>B23</f>
        <v>自然及人文环境</v>
      </c>
      <c r="R23" s="1694" t="s">
        <v>28</v>
      </c>
      <c r="S23" s="1695">
        <f>F23</f>
        <v>100</v>
      </c>
      <c r="T23" s="1694" t="s">
        <v>28</v>
      </c>
      <c r="U23" s="1695">
        <f>H23</f>
        <v>100</v>
      </c>
      <c r="V23" s="1694" t="s">
        <v>28</v>
      </c>
      <c r="W23" s="1695">
        <f>J23</f>
        <v>100</v>
      </c>
      <c r="X23" s="1634"/>
      <c r="Y23" s="3615"/>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13"/>
      <c r="Q24" s="1584"/>
      <c r="R24" s="1694"/>
      <c r="S24" s="1695"/>
      <c r="T24" s="1694"/>
      <c r="U24" s="1695"/>
      <c r="V24" s="1694"/>
      <c r="W24" s="1695"/>
      <c r="X24" s="1634"/>
      <c r="Y24" s="3615"/>
      <c r="Z24" s="1696"/>
      <c r="AA24" s="1697">
        <v>1</v>
      </c>
      <c r="AB24" s="1697">
        <v>1</v>
      </c>
      <c r="AC24" s="1697">
        <v>1</v>
      </c>
    </row>
    <row r="25" spans="1:29" ht="15">
      <c r="A25" s="1671"/>
      <c r="B25" s="1664" t="s">
        <v>2211</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13"/>
      <c r="Q25" s="1584" t="str">
        <f t="shared" ref="Q25:Q46" si="11">B25</f>
        <v>楼层-1</v>
      </c>
      <c r="R25" s="1694" t="s">
        <v>28</v>
      </c>
      <c r="S25" s="1695">
        <f>F25</f>
        <v>100</v>
      </c>
      <c r="T25" s="1694" t="s">
        <v>28</v>
      </c>
      <c r="U25" s="1695">
        <f>H25</f>
        <v>100</v>
      </c>
      <c r="V25" s="1694" t="s">
        <v>28</v>
      </c>
      <c r="W25" s="1695">
        <f>J25</f>
        <v>100</v>
      </c>
      <c r="X25" s="1634"/>
      <c r="Y25" s="3615"/>
      <c r="Z25" s="1696" t="str">
        <f>Q25</f>
        <v>楼层-1</v>
      </c>
      <c r="AA25" s="1697">
        <f t="shared" si="3"/>
        <v>1</v>
      </c>
      <c r="AB25" s="1697">
        <f t="shared" si="4"/>
        <v>1</v>
      </c>
      <c r="AC25" s="1697">
        <f t="shared" si="5"/>
        <v>1</v>
      </c>
    </row>
    <row r="26" spans="1:29" ht="15">
      <c r="A26" s="1671"/>
      <c r="B26" s="1664" t="s">
        <v>2212</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13"/>
      <c r="Q26" s="1584" t="str">
        <f t="shared" si="11"/>
        <v>朝向</v>
      </c>
      <c r="R26" s="1694" t="s">
        <v>28</v>
      </c>
      <c r="S26" s="1695">
        <f>F26</f>
        <v>100</v>
      </c>
      <c r="T26" s="1694" t="s">
        <v>28</v>
      </c>
      <c r="U26" s="1695">
        <f>H26</f>
        <v>100</v>
      </c>
      <c r="V26" s="1694" t="s">
        <v>28</v>
      </c>
      <c r="W26" s="1695">
        <f>J26</f>
        <v>100</v>
      </c>
      <c r="X26" s="1634"/>
      <c r="Y26" s="3615"/>
      <c r="Z26" s="1696" t="str">
        <f>Q26</f>
        <v>朝向</v>
      </c>
      <c r="AA26" s="1697">
        <f t="shared" si="3"/>
        <v>1</v>
      </c>
      <c r="AB26" s="1697">
        <f t="shared" si="4"/>
        <v>1</v>
      </c>
      <c r="AC26" s="1697">
        <f t="shared" si="5"/>
        <v>1</v>
      </c>
    </row>
    <row r="27" spans="1:29" s="1653" customFormat="1" ht="15">
      <c r="A27" s="1674"/>
      <c r="B27" s="1675" t="s">
        <v>2213</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13"/>
      <c r="Q27" s="1603" t="str">
        <f t="shared" si="11"/>
        <v>道路级别</v>
      </c>
      <c r="R27" s="1649" t="s">
        <v>28</v>
      </c>
      <c r="S27" s="1650">
        <f>F27</f>
        <v>100</v>
      </c>
      <c r="T27" s="1649" t="s">
        <v>28</v>
      </c>
      <c r="U27" s="1650">
        <f>H27</f>
        <v>100</v>
      </c>
      <c r="V27" s="1649" t="s">
        <v>28</v>
      </c>
      <c r="W27" s="1650">
        <f>J27</f>
        <v>100</v>
      </c>
      <c r="X27" s="1651"/>
      <c r="Y27" s="3615"/>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13"/>
      <c r="Q28" s="1584">
        <f t="shared" si="11"/>
        <v>111</v>
      </c>
      <c r="R28" s="1694" t="s">
        <v>28</v>
      </c>
      <c r="S28" s="1695">
        <f t="shared" ref="S28:S46" si="12">F28</f>
        <v>100</v>
      </c>
      <c r="T28" s="1694" t="s">
        <v>28</v>
      </c>
      <c r="U28" s="1695">
        <f t="shared" ref="U28:U46" si="13">H28</f>
        <v>100</v>
      </c>
      <c r="V28" s="1694" t="s">
        <v>28</v>
      </c>
      <c r="W28" s="1695">
        <f t="shared" ref="W28:W46" si="14">J28</f>
        <v>100</v>
      </c>
      <c r="X28" s="1634"/>
      <c r="Y28" s="3615"/>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13"/>
      <c r="Q29" s="1584">
        <f t="shared" si="11"/>
        <v>111</v>
      </c>
      <c r="R29" s="1694" t="s">
        <v>28</v>
      </c>
      <c r="S29" s="1695">
        <f t="shared" si="12"/>
        <v>100</v>
      </c>
      <c r="T29" s="1694" t="s">
        <v>28</v>
      </c>
      <c r="U29" s="1695">
        <f t="shared" si="13"/>
        <v>100</v>
      </c>
      <c r="V29" s="1694" t="s">
        <v>28</v>
      </c>
      <c r="W29" s="1695">
        <f t="shared" si="14"/>
        <v>100</v>
      </c>
      <c r="X29" s="1634"/>
      <c r="Y29" s="3615"/>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13"/>
      <c r="Q30" s="1584">
        <f t="shared" si="11"/>
        <v>111</v>
      </c>
      <c r="R30" s="1694" t="s">
        <v>28</v>
      </c>
      <c r="S30" s="1695">
        <f t="shared" si="12"/>
        <v>100</v>
      </c>
      <c r="T30" s="1694" t="s">
        <v>28</v>
      </c>
      <c r="U30" s="1695">
        <f t="shared" si="13"/>
        <v>100</v>
      </c>
      <c r="V30" s="1694" t="s">
        <v>28</v>
      </c>
      <c r="W30" s="1695">
        <f t="shared" si="14"/>
        <v>100</v>
      </c>
      <c r="X30" s="1634"/>
      <c r="Y30" s="3615"/>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13"/>
      <c r="Q31" s="1584">
        <f t="shared" si="11"/>
        <v>111</v>
      </c>
      <c r="R31" s="1694" t="s">
        <v>28</v>
      </c>
      <c r="S31" s="1695">
        <f t="shared" si="12"/>
        <v>100</v>
      </c>
      <c r="T31" s="1694" t="s">
        <v>28</v>
      </c>
      <c r="U31" s="1695">
        <f t="shared" si="13"/>
        <v>100</v>
      </c>
      <c r="V31" s="1694" t="s">
        <v>28</v>
      </c>
      <c r="W31" s="1695">
        <f t="shared" si="14"/>
        <v>100</v>
      </c>
      <c r="X31" s="1634"/>
      <c r="Y31" s="3615"/>
      <c r="Z31" s="1696">
        <f t="shared" si="15"/>
        <v>111</v>
      </c>
      <c r="AA31" s="1697">
        <f t="shared" si="3"/>
        <v>1</v>
      </c>
      <c r="AB31" s="1697">
        <f t="shared" si="4"/>
        <v>1</v>
      </c>
      <c r="AC31" s="1697">
        <f t="shared" si="5"/>
        <v>1</v>
      </c>
    </row>
    <row r="32" spans="1:29" ht="15">
      <c r="A32" s="1686" t="s">
        <v>2214</v>
      </c>
      <c r="B32" s="1656" t="s">
        <v>2215</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16" t="s">
        <v>2216</v>
      </c>
      <c r="Q32" s="1584" t="str">
        <f t="shared" si="11"/>
        <v>建筑类型</v>
      </c>
      <c r="R32" s="1694" t="s">
        <v>28</v>
      </c>
      <c r="S32" s="1695">
        <f t="shared" si="12"/>
        <v>100</v>
      </c>
      <c r="T32" s="1694" t="s">
        <v>28</v>
      </c>
      <c r="U32" s="1695">
        <f t="shared" si="13"/>
        <v>100</v>
      </c>
      <c r="V32" s="1694" t="s">
        <v>28</v>
      </c>
      <c r="W32" s="1695">
        <f t="shared" si="14"/>
        <v>100</v>
      </c>
      <c r="X32" s="1634"/>
      <c r="Y32" s="3619" t="s">
        <v>2216</v>
      </c>
      <c r="Z32" s="1696" t="str">
        <f t="shared" si="15"/>
        <v>建筑类型</v>
      </c>
      <c r="AA32" s="1697">
        <f t="shared" si="3"/>
        <v>1</v>
      </c>
      <c r="AB32" s="1697">
        <f t="shared" si="4"/>
        <v>1</v>
      </c>
      <c r="AC32" s="1697">
        <f t="shared" si="5"/>
        <v>1</v>
      </c>
    </row>
    <row r="33" spans="1:29" s="1740" customFormat="1" ht="15">
      <c r="A33" s="1733"/>
      <c r="B33" s="1664" t="s">
        <v>2217</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17"/>
      <c r="Q33" s="1735" t="str">
        <f t="shared" si="11"/>
        <v>项目建筑规模</v>
      </c>
      <c r="R33" s="1736" t="s">
        <v>28</v>
      </c>
      <c r="S33" s="1737" t="e">
        <f t="shared" si="12"/>
        <v>#N/A</v>
      </c>
      <c r="T33" s="1736" t="s">
        <v>28</v>
      </c>
      <c r="U33" s="1737" t="e">
        <f t="shared" si="13"/>
        <v>#N/A</v>
      </c>
      <c r="V33" s="1736" t="s">
        <v>28</v>
      </c>
      <c r="W33" s="1737" t="e">
        <f t="shared" si="14"/>
        <v>#N/A</v>
      </c>
      <c r="X33" s="1738"/>
      <c r="Y33" s="3619"/>
      <c r="Z33" s="1739" t="str">
        <f t="shared" si="15"/>
        <v>项目建筑规模</v>
      </c>
      <c r="AA33" s="1697" t="e">
        <f t="shared" si="3"/>
        <v>#N/A</v>
      </c>
      <c r="AB33" s="1697" t="e">
        <f t="shared" si="4"/>
        <v>#N/A</v>
      </c>
      <c r="AC33" s="1697" t="e">
        <f t="shared" si="5"/>
        <v>#N/A</v>
      </c>
    </row>
    <row r="34" spans="1:29" ht="15">
      <c r="A34" s="1741"/>
      <c r="B34" s="1664" t="s">
        <v>2218</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17"/>
      <c r="Q34" s="1584" t="str">
        <f t="shared" si="11"/>
        <v>建筑结构</v>
      </c>
      <c r="R34" s="1694" t="s">
        <v>28</v>
      </c>
      <c r="S34" s="1695">
        <f t="shared" si="12"/>
        <v>100</v>
      </c>
      <c r="T34" s="1694" t="s">
        <v>28</v>
      </c>
      <c r="U34" s="1695">
        <f t="shared" si="13"/>
        <v>100</v>
      </c>
      <c r="V34" s="1694" t="s">
        <v>28</v>
      </c>
      <c r="W34" s="1695">
        <f t="shared" si="14"/>
        <v>100</v>
      </c>
      <c r="X34" s="1634"/>
      <c r="Y34" s="3619"/>
      <c r="Z34" s="1696" t="str">
        <f t="shared" si="15"/>
        <v>建筑结构</v>
      </c>
      <c r="AA34" s="1697">
        <f t="shared" si="3"/>
        <v>1</v>
      </c>
      <c r="AB34" s="1697">
        <f t="shared" si="4"/>
        <v>1</v>
      </c>
      <c r="AC34" s="1697">
        <f t="shared" si="5"/>
        <v>1</v>
      </c>
    </row>
    <row r="35" spans="1:29" ht="15">
      <c r="A35" s="1741"/>
      <c r="B35" s="1664" t="s">
        <v>2219</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17"/>
      <c r="Q35" s="1584" t="str">
        <f t="shared" si="11"/>
        <v>建筑品质</v>
      </c>
      <c r="R35" s="1694" t="s">
        <v>28</v>
      </c>
      <c r="S35" s="1695">
        <f t="shared" si="12"/>
        <v>100</v>
      </c>
      <c r="T35" s="1694" t="s">
        <v>28</v>
      </c>
      <c r="U35" s="1695">
        <f t="shared" si="13"/>
        <v>100</v>
      </c>
      <c r="V35" s="1694" t="s">
        <v>28</v>
      </c>
      <c r="W35" s="1695">
        <f t="shared" si="14"/>
        <v>100</v>
      </c>
      <c r="X35" s="1634"/>
      <c r="Y35" s="3619"/>
      <c r="Z35" s="1696" t="str">
        <f t="shared" si="15"/>
        <v>建筑品质</v>
      </c>
      <c r="AA35" s="1697">
        <f t="shared" si="3"/>
        <v>1</v>
      </c>
      <c r="AB35" s="1697">
        <f t="shared" si="4"/>
        <v>1</v>
      </c>
      <c r="AC35" s="1697">
        <f t="shared" si="5"/>
        <v>1</v>
      </c>
    </row>
    <row r="36" spans="1:29" ht="15">
      <c r="A36" s="1741"/>
      <c r="B36" s="1664" t="s">
        <v>2220</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17"/>
      <c r="Q36" s="1584" t="str">
        <f t="shared" si="11"/>
        <v>公共部分装修</v>
      </c>
      <c r="R36" s="1694" t="s">
        <v>28</v>
      </c>
      <c r="S36" s="1695">
        <f t="shared" si="12"/>
        <v>100</v>
      </c>
      <c r="T36" s="1694" t="s">
        <v>28</v>
      </c>
      <c r="U36" s="1695">
        <f t="shared" si="13"/>
        <v>100</v>
      </c>
      <c r="V36" s="1694" t="s">
        <v>28</v>
      </c>
      <c r="W36" s="1695">
        <f t="shared" si="14"/>
        <v>100</v>
      </c>
      <c r="X36" s="1634"/>
      <c r="Y36" s="3619"/>
      <c r="Z36" s="1696" t="str">
        <f t="shared" si="15"/>
        <v>公共部分装修</v>
      </c>
      <c r="AA36" s="1697">
        <f t="shared" si="3"/>
        <v>1</v>
      </c>
      <c r="AB36" s="1697">
        <f t="shared" si="4"/>
        <v>1</v>
      </c>
      <c r="AC36" s="1697">
        <f t="shared" si="5"/>
        <v>1</v>
      </c>
    </row>
    <row r="37" spans="1:29" s="1653" customFormat="1" ht="15">
      <c r="A37" s="1744"/>
      <c r="B37" s="1664" t="s">
        <v>2221</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17"/>
      <c r="Q37" s="1603" t="str">
        <f t="shared" si="11"/>
        <v>成新度</v>
      </c>
      <c r="R37" s="1649" t="s">
        <v>28</v>
      </c>
      <c r="S37" s="1650" t="e">
        <f t="shared" si="12"/>
        <v>#N/A</v>
      </c>
      <c r="T37" s="1649" t="s">
        <v>28</v>
      </c>
      <c r="U37" s="1650" t="e">
        <f t="shared" si="13"/>
        <v>#N/A</v>
      </c>
      <c r="V37" s="1649" t="s">
        <v>28</v>
      </c>
      <c r="W37" s="1650" t="e">
        <f t="shared" si="14"/>
        <v>#N/A</v>
      </c>
      <c r="X37" s="1651"/>
      <c r="Y37" s="3619"/>
      <c r="Z37" s="1662" t="str">
        <f t="shared" si="15"/>
        <v>成新度</v>
      </c>
      <c r="AA37" s="1652" t="e">
        <f t="shared" si="3"/>
        <v>#N/A</v>
      </c>
      <c r="AB37" s="1652" t="e">
        <f t="shared" si="4"/>
        <v>#N/A</v>
      </c>
      <c r="AC37" s="1652" t="e">
        <f t="shared" si="5"/>
        <v>#N/A</v>
      </c>
    </row>
    <row r="38" spans="1:29" ht="15">
      <c r="A38" s="1741"/>
      <c r="B38" s="1664" t="s">
        <v>2222</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17" t="s">
        <v>2216</v>
      </c>
      <c r="Q38" s="1584" t="str">
        <f t="shared" si="11"/>
        <v>物业管理</v>
      </c>
      <c r="R38" s="1694" t="s">
        <v>28</v>
      </c>
      <c r="S38" s="1695">
        <f t="shared" si="12"/>
        <v>100</v>
      </c>
      <c r="T38" s="1694" t="s">
        <v>28</v>
      </c>
      <c r="U38" s="1695">
        <f t="shared" si="13"/>
        <v>100</v>
      </c>
      <c r="V38" s="1694" t="s">
        <v>28</v>
      </c>
      <c r="W38" s="1695">
        <f t="shared" si="14"/>
        <v>100</v>
      </c>
      <c r="X38" s="1634"/>
      <c r="Y38" s="3619" t="s">
        <v>2216</v>
      </c>
      <c r="Z38" s="1696" t="str">
        <f t="shared" si="15"/>
        <v>物业管理</v>
      </c>
      <c r="AA38" s="1697">
        <f t="shared" si="3"/>
        <v>1</v>
      </c>
      <c r="AB38" s="1697">
        <f t="shared" si="4"/>
        <v>1</v>
      </c>
      <c r="AC38" s="1697">
        <f t="shared" si="5"/>
        <v>1</v>
      </c>
    </row>
    <row r="39" spans="1:29" ht="15">
      <c r="A39" s="1741"/>
      <c r="B39" s="1664" t="s">
        <v>2223</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17"/>
      <c r="Q39" s="1584" t="str">
        <f t="shared" si="11"/>
        <v>市政基础设施</v>
      </c>
      <c r="R39" s="1694" t="s">
        <v>28</v>
      </c>
      <c r="S39" s="1695">
        <f t="shared" si="12"/>
        <v>100</v>
      </c>
      <c r="T39" s="1694" t="s">
        <v>28</v>
      </c>
      <c r="U39" s="1695">
        <f t="shared" si="13"/>
        <v>100</v>
      </c>
      <c r="V39" s="1694" t="s">
        <v>28</v>
      </c>
      <c r="W39" s="1695">
        <f t="shared" si="14"/>
        <v>100</v>
      </c>
      <c r="X39" s="1634"/>
      <c r="Y39" s="3619"/>
      <c r="Z39" s="1696" t="str">
        <f t="shared" si="15"/>
        <v>市政基础设施</v>
      </c>
      <c r="AA39" s="1697">
        <f t="shared" si="3"/>
        <v>1</v>
      </c>
      <c r="AB39" s="1697">
        <f t="shared" si="4"/>
        <v>1</v>
      </c>
      <c r="AC39" s="1697">
        <f t="shared" si="5"/>
        <v>1</v>
      </c>
    </row>
    <row r="40" spans="1:29" ht="15">
      <c r="A40" s="1741"/>
      <c r="B40" s="1664" t="s">
        <v>2224</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17"/>
      <c r="Q40" s="1584" t="str">
        <f t="shared" si="11"/>
        <v>房型</v>
      </c>
      <c r="R40" s="1694" t="s">
        <v>28</v>
      </c>
      <c r="S40" s="1695">
        <f t="shared" si="12"/>
        <v>100</v>
      </c>
      <c r="T40" s="1694" t="s">
        <v>28</v>
      </c>
      <c r="U40" s="1695">
        <f t="shared" si="13"/>
        <v>100</v>
      </c>
      <c r="V40" s="1694" t="s">
        <v>28</v>
      </c>
      <c r="W40" s="1695">
        <f t="shared" si="14"/>
        <v>100</v>
      </c>
      <c r="X40" s="1634"/>
      <c r="Y40" s="3619"/>
      <c r="Z40" s="1696" t="str">
        <f t="shared" si="15"/>
        <v>房型</v>
      </c>
      <c r="AA40" s="1697">
        <f t="shared" si="3"/>
        <v>1</v>
      </c>
      <c r="AB40" s="1697">
        <f t="shared" si="4"/>
        <v>1</v>
      </c>
      <c r="AC40" s="1697">
        <f t="shared" si="5"/>
        <v>1</v>
      </c>
    </row>
    <row r="41" spans="1:29" s="1740" customFormat="1" ht="28.5">
      <c r="A41" s="1733"/>
      <c r="B41" s="1664" t="s">
        <v>2225</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17"/>
      <c r="Q41" s="1735" t="str">
        <f t="shared" si="11"/>
        <v>单套/主力户型建筑面积</v>
      </c>
      <c r="R41" s="1736" t="s">
        <v>28</v>
      </c>
      <c r="S41" s="1737">
        <f t="shared" si="12"/>
        <v>100</v>
      </c>
      <c r="T41" s="1736" t="s">
        <v>28</v>
      </c>
      <c r="U41" s="1737">
        <f t="shared" si="13"/>
        <v>100</v>
      </c>
      <c r="V41" s="1736" t="s">
        <v>28</v>
      </c>
      <c r="W41" s="1737">
        <f t="shared" si="14"/>
        <v>100</v>
      </c>
      <c r="X41" s="1738"/>
      <c r="Y41" s="3619"/>
      <c r="Z41" s="1739" t="str">
        <f t="shared" si="15"/>
        <v>单套/主力户型建筑面积</v>
      </c>
      <c r="AA41" s="1697">
        <f t="shared" si="3"/>
        <v>1</v>
      </c>
      <c r="AB41" s="1697">
        <f t="shared" si="4"/>
        <v>1</v>
      </c>
      <c r="AC41" s="1697">
        <f t="shared" si="5"/>
        <v>1</v>
      </c>
    </row>
    <row r="42" spans="1:29" ht="15">
      <c r="A42" s="1741"/>
      <c r="B42" s="1664" t="s">
        <v>2226</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17"/>
      <c r="Q42" s="1584" t="str">
        <f t="shared" si="11"/>
        <v>内部装修</v>
      </c>
      <c r="R42" s="1694" t="s">
        <v>28</v>
      </c>
      <c r="S42" s="1695">
        <f t="shared" si="12"/>
        <v>100</v>
      </c>
      <c r="T42" s="1694" t="s">
        <v>28</v>
      </c>
      <c r="U42" s="1695">
        <f t="shared" si="13"/>
        <v>100</v>
      </c>
      <c r="V42" s="1694" t="s">
        <v>28</v>
      </c>
      <c r="W42" s="1695">
        <f t="shared" si="14"/>
        <v>100</v>
      </c>
      <c r="X42" s="1634"/>
      <c r="Y42" s="3619"/>
      <c r="Z42" s="1696" t="str">
        <f t="shared" si="15"/>
        <v>内部装修</v>
      </c>
      <c r="AA42" s="1697">
        <f t="shared" si="3"/>
        <v>1</v>
      </c>
      <c r="AB42" s="1697">
        <f t="shared" si="4"/>
        <v>1</v>
      </c>
      <c r="AC42" s="1697">
        <f t="shared" si="5"/>
        <v>1</v>
      </c>
    </row>
    <row r="43" spans="1:29" ht="15">
      <c r="A43" s="1741"/>
      <c r="B43" s="1664" t="s">
        <v>2227</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17"/>
      <c r="Q43" s="1584" t="str">
        <f t="shared" si="11"/>
        <v>内部装修维护情况</v>
      </c>
      <c r="R43" s="1694" t="s">
        <v>28</v>
      </c>
      <c r="S43" s="1695">
        <f t="shared" si="12"/>
        <v>100</v>
      </c>
      <c r="T43" s="1694" t="s">
        <v>28</v>
      </c>
      <c r="U43" s="1695">
        <f t="shared" si="13"/>
        <v>100</v>
      </c>
      <c r="V43" s="1694" t="s">
        <v>28</v>
      </c>
      <c r="W43" s="1695">
        <f t="shared" si="14"/>
        <v>100</v>
      </c>
      <c r="X43" s="1634"/>
      <c r="Y43" s="3619"/>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17"/>
      <c r="Q44" s="1603">
        <f t="shared" si="11"/>
        <v>111</v>
      </c>
      <c r="R44" s="1649" t="s">
        <v>28</v>
      </c>
      <c r="S44" s="1650">
        <f t="shared" si="12"/>
        <v>100</v>
      </c>
      <c r="T44" s="1649" t="s">
        <v>28</v>
      </c>
      <c r="U44" s="1650">
        <f t="shared" si="13"/>
        <v>100</v>
      </c>
      <c r="V44" s="1649" t="s">
        <v>28</v>
      </c>
      <c r="W44" s="1650">
        <f t="shared" si="14"/>
        <v>100</v>
      </c>
      <c r="X44" s="1651"/>
      <c r="Y44" s="361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17"/>
      <c r="Q45" s="1584">
        <f t="shared" si="11"/>
        <v>111</v>
      </c>
      <c r="R45" s="1694" t="s">
        <v>28</v>
      </c>
      <c r="S45" s="1695">
        <f t="shared" si="12"/>
        <v>100</v>
      </c>
      <c r="T45" s="1694" t="s">
        <v>28</v>
      </c>
      <c r="U45" s="1695">
        <f t="shared" si="13"/>
        <v>100</v>
      </c>
      <c r="V45" s="1694" t="s">
        <v>28</v>
      </c>
      <c r="W45" s="1695">
        <f t="shared" si="14"/>
        <v>100</v>
      </c>
      <c r="X45" s="1634"/>
      <c r="Y45" s="3619"/>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18"/>
      <c r="Q46" s="1584">
        <f t="shared" si="11"/>
        <v>111</v>
      </c>
      <c r="R46" s="1694" t="s">
        <v>27</v>
      </c>
      <c r="S46" s="1695">
        <f t="shared" si="12"/>
        <v>100</v>
      </c>
      <c r="T46" s="1694" t="s">
        <v>27</v>
      </c>
      <c r="U46" s="1695">
        <f t="shared" si="13"/>
        <v>100</v>
      </c>
      <c r="V46" s="1694" t="s">
        <v>27</v>
      </c>
      <c r="W46" s="1695">
        <f t="shared" si="14"/>
        <v>100</v>
      </c>
      <c r="X46" s="1634"/>
      <c r="Y46" s="3620"/>
      <c r="Z46" s="1696">
        <f t="shared" si="15"/>
        <v>111</v>
      </c>
      <c r="AA46" s="1697">
        <f t="shared" si="3"/>
        <v>1</v>
      </c>
      <c r="AB46" s="1697">
        <f t="shared" si="4"/>
        <v>1</v>
      </c>
      <c r="AC46" s="1697">
        <f t="shared" si="5"/>
        <v>1</v>
      </c>
    </row>
    <row r="47" spans="1:29" ht="15">
      <c r="A47" s="1750" t="s">
        <v>2228</v>
      </c>
      <c r="B47" s="1751"/>
      <c r="C47" s="1752" t="s">
        <v>26</v>
      </c>
      <c r="D47" s="1753"/>
      <c r="E47" s="1754"/>
      <c r="F47" s="1755"/>
      <c r="G47" s="1756"/>
      <c r="H47" s="1757"/>
      <c r="I47" s="1754"/>
      <c r="J47" s="1757"/>
      <c r="K47" s="1758"/>
      <c r="L47" s="2970"/>
      <c r="N47" s="2965"/>
      <c r="P47" s="3611" t="str">
        <f>A47</f>
        <v>成交单价（元/平方米）</v>
      </c>
      <c r="Q47" s="3611"/>
      <c r="R47" s="3607">
        <f>E47</f>
        <v>0</v>
      </c>
      <c r="S47" s="3607"/>
      <c r="T47" s="3607">
        <f>G47</f>
        <v>0</v>
      </c>
      <c r="U47" s="3607"/>
      <c r="V47" s="3607">
        <f>I47</f>
        <v>0</v>
      </c>
      <c r="W47" s="3607"/>
      <c r="X47" s="1760"/>
      <c r="Y47" s="1761"/>
      <c r="Z47" s="1760"/>
      <c r="AA47" s="1760"/>
      <c r="AB47" s="1760"/>
      <c r="AC47" s="1760"/>
    </row>
    <row r="48" spans="1:29" ht="15.75" thickBot="1">
      <c r="A48" s="1762" t="s">
        <v>2229</v>
      </c>
      <c r="B48" s="1763"/>
      <c r="C48" s="1764" t="e">
        <f>R49</f>
        <v>#DIV/0!</v>
      </c>
      <c r="D48" s="1765" t="s">
        <v>2683</v>
      </c>
      <c r="E48" s="1766" t="e">
        <f>R48</f>
        <v>#DIV/0!</v>
      </c>
      <c r="F48" s="1767"/>
      <c r="G48" s="1764" t="e">
        <f>T48</f>
        <v>#DIV/0!</v>
      </c>
      <c r="H48" s="1767"/>
      <c r="I48" s="1766" t="e">
        <f>V48</f>
        <v>#DIV/0!</v>
      </c>
      <c r="J48" s="1767"/>
      <c r="K48" s="2480">
        <f>F48+H48+J48</f>
        <v>0</v>
      </c>
      <c r="L48" s="2970"/>
      <c r="P48" s="3611" t="str">
        <f>A48</f>
        <v>比较价值（元/平方米）</v>
      </c>
      <c r="Q48" s="3611"/>
      <c r="R48" s="3607" t="e">
        <f>IF(E1="售价",ROUND(PRODUCT(R47,AA7:AA46),0),ROUND(PRODUCT(R47,AA7:AA46),1))</f>
        <v>#DIV/0!</v>
      </c>
      <c r="S48" s="3607"/>
      <c r="T48" s="3605" t="e">
        <f>IF(E1="售价",ROUND(PRODUCT(T47,AB7:AB46),0),ROUND(PRODUCT(T47,AB7:AB46),1))</f>
        <v>#DIV/0!</v>
      </c>
      <c r="U48" s="3606"/>
      <c r="V48" s="3607" t="e">
        <f>IF(E1="售价",ROUND(PRODUCT(V47,AC7:AC46),0),ROUND(PRODUCT(V47,AC7:AC46),1))</f>
        <v>#DIV/0!</v>
      </c>
      <c r="W48" s="3607"/>
      <c r="X48" s="1760"/>
      <c r="Y48" s="1760"/>
      <c r="Z48" s="1760"/>
      <c r="AA48" s="1760"/>
      <c r="AB48" s="1760"/>
      <c r="AC48" s="1760"/>
    </row>
    <row r="49" spans="1:29" ht="15.75" thickBot="1">
      <c r="A49" s="1768" t="s">
        <v>2230</v>
      </c>
      <c r="B49" s="1769"/>
      <c r="C49" s="1770" t="e">
        <f>R49</f>
        <v>#DIV/0!</v>
      </c>
      <c r="D49" s="1771"/>
      <c r="E49" s="1771"/>
      <c r="F49" s="1771"/>
      <c r="G49" s="1771"/>
      <c r="H49" s="1771"/>
      <c r="I49" s="1771"/>
      <c r="J49" s="1771"/>
      <c r="K49" s="1772"/>
      <c r="L49" s="2970"/>
      <c r="P49" s="3608" t="str">
        <f>A49</f>
        <v>估价对象XX用房的比较价值（楼面单价，元/平方米）</v>
      </c>
      <c r="Q49" s="3609"/>
      <c r="R49" s="3610" t="e">
        <f>IF(E1="售价",ROUND(IF(D48="简单平均",AVERAGE(R48:V48),R48*F48+T48*H48+V48*J48),0),ROUND(IF(D48="简单平均",AVERAGE(R48:V48),R48*F48+T48*H48+V48*J48),1))</f>
        <v>#DIV/0!</v>
      </c>
      <c r="S49" s="3610"/>
      <c r="T49" s="3610"/>
      <c r="U49" s="3610"/>
      <c r="V49" s="3610"/>
      <c r="W49" s="3610"/>
      <c r="X49" s="1760"/>
      <c r="Y49" s="1760"/>
      <c r="Z49" s="1760"/>
      <c r="AA49" s="1760"/>
      <c r="AB49" s="1760"/>
      <c r="AC49" s="1760"/>
    </row>
    <row r="50" spans="1:29">
      <c r="G50" s="2974"/>
    </row>
    <row r="52" spans="1:29" ht="13.5" customHeight="1">
      <c r="C52" s="383" t="s">
        <v>2231</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2232</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2233</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2234</v>
      </c>
      <c r="B57" s="1760"/>
      <c r="C57" s="1786"/>
      <c r="D57" s="1786"/>
      <c r="E57" s="1786"/>
      <c r="F57" s="1786"/>
      <c r="G57" s="1786"/>
      <c r="H57" s="1786"/>
      <c r="I57" s="1786"/>
      <c r="J57" s="1786"/>
      <c r="K57" s="1787"/>
      <c r="L57" s="2972"/>
      <c r="M57" s="2973"/>
      <c r="N57" s="2973"/>
      <c r="O57" s="2973"/>
      <c r="P57" s="1789"/>
      <c r="Q57" s="1790"/>
    </row>
    <row r="58" spans="1:29" s="1796" customFormat="1" ht="15">
      <c r="A58" s="1791" t="s">
        <v>2235</v>
      </c>
      <c r="B58" s="1792"/>
      <c r="C58" s="1793" t="str">
        <f>YEAR(C7)&amp;"-"&amp;MONTH(C7)</f>
        <v>2022-3</v>
      </c>
      <c r="D58" s="1794">
        <f>EDATE(C58,-1)</f>
        <v>44593</v>
      </c>
      <c r="E58" s="1794">
        <f t="shared" ref="E58:O58" si="16">EDATE(D58,-1)</f>
        <v>44562</v>
      </c>
      <c r="F58" s="1794">
        <f t="shared" si="16"/>
        <v>44531</v>
      </c>
      <c r="G58" s="1794">
        <f t="shared" si="16"/>
        <v>44501</v>
      </c>
      <c r="H58" s="1794">
        <f t="shared" si="16"/>
        <v>44470</v>
      </c>
      <c r="I58" s="1794">
        <f t="shared" si="16"/>
        <v>44440</v>
      </c>
      <c r="J58" s="1794">
        <f t="shared" si="16"/>
        <v>44409</v>
      </c>
      <c r="K58" s="1794">
        <f t="shared" si="16"/>
        <v>44378</v>
      </c>
      <c r="L58" s="1794">
        <f t="shared" si="16"/>
        <v>44348</v>
      </c>
      <c r="M58" s="1794">
        <f t="shared" si="16"/>
        <v>44317</v>
      </c>
      <c r="N58" s="1794">
        <f t="shared" si="16"/>
        <v>44287</v>
      </c>
      <c r="O58" s="1794">
        <f t="shared" si="16"/>
        <v>44256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2236</v>
      </c>
      <c r="B60" s="1804"/>
      <c r="C60" s="1805"/>
      <c r="D60" s="1806"/>
      <c r="E60" s="1806"/>
      <c r="F60" s="1806"/>
      <c r="G60" s="1806"/>
      <c r="H60" s="1806"/>
      <c r="I60" s="1806"/>
      <c r="J60" s="1806"/>
      <c r="K60" s="1806"/>
      <c r="L60" s="1806"/>
      <c r="M60" s="1807"/>
      <c r="N60" s="1806"/>
      <c r="O60" s="1807"/>
      <c r="P60" s="1802"/>
      <c r="Q60" s="1790"/>
    </row>
    <row r="61" spans="1:29" s="1653" customFormat="1" ht="15">
      <c r="A61" s="1808" t="s">
        <v>2237</v>
      </c>
      <c r="B61" s="1798"/>
      <c r="C61" s="1809" t="s">
        <v>2238</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2239</v>
      </c>
      <c r="B63" s="1816" t="s">
        <v>2204</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2207</v>
      </c>
      <c r="C65" s="1828" t="s">
        <v>2240</v>
      </c>
      <c r="D65" s="1828" t="s">
        <v>2241</v>
      </c>
      <c r="E65" s="1828" t="s">
        <v>2242</v>
      </c>
      <c r="F65" s="1828" t="s">
        <v>2243</v>
      </c>
      <c r="G65" s="1828" t="s">
        <v>2244</v>
      </c>
      <c r="H65" s="1828" t="s">
        <v>2245</v>
      </c>
      <c r="I65" s="1828" t="s">
        <v>2246</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2208</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2209</v>
      </c>
      <c r="B76" s="1816" t="s">
        <v>2247</v>
      </c>
      <c r="C76" s="1854" t="s">
        <v>2248</v>
      </c>
      <c r="D76" s="1854" t="s">
        <v>2249</v>
      </c>
      <c r="E76" s="1854" t="s">
        <v>2250</v>
      </c>
      <c r="F76" s="1854" t="s">
        <v>2251</v>
      </c>
      <c r="G76" s="1854" t="s">
        <v>2252</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2253</v>
      </c>
      <c r="C78" s="579" t="s">
        <v>2248</v>
      </c>
      <c r="D78" s="579" t="s">
        <v>2249</v>
      </c>
      <c r="E78" s="579" t="s">
        <v>2250</v>
      </c>
      <c r="F78" s="579" t="s">
        <v>2251</v>
      </c>
      <c r="G78" s="579" t="s">
        <v>2252</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2254</v>
      </c>
      <c r="C80" s="579" t="s">
        <v>2248</v>
      </c>
      <c r="D80" s="579" t="s">
        <v>2249</v>
      </c>
      <c r="E80" s="579" t="s">
        <v>2250</v>
      </c>
      <c r="F80" s="579" t="s">
        <v>2251</v>
      </c>
      <c r="G80" s="579" t="s">
        <v>2252</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1650</v>
      </c>
      <c r="C82" s="1828" t="s">
        <v>2255</v>
      </c>
      <c r="D82" s="1828" t="s">
        <v>2256</v>
      </c>
      <c r="E82" s="1828" t="s">
        <v>2257</v>
      </c>
      <c r="F82" s="1828" t="s">
        <v>2258</v>
      </c>
      <c r="G82" s="1828" t="s">
        <v>2259</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2260</v>
      </c>
      <c r="C84" s="579" t="s">
        <v>2248</v>
      </c>
      <c r="D84" s="579" t="s">
        <v>2249</v>
      </c>
      <c r="E84" s="579" t="s">
        <v>2250</v>
      </c>
      <c r="F84" s="579" t="s">
        <v>2251</v>
      </c>
      <c r="G84" s="579" t="s">
        <v>2252</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2261</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2262</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2214</v>
      </c>
      <c r="B100" s="1816" t="s">
        <v>2263</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2265</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2266</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2267</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2269</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2270</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2271</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2225</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2272</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2273</v>
      </c>
      <c r="C124" s="579" t="s">
        <v>2248</v>
      </c>
      <c r="D124" s="579" t="s">
        <v>2249</v>
      </c>
      <c r="E124" s="579" t="s">
        <v>2250</v>
      </c>
      <c r="F124" s="579" t="s">
        <v>2251</v>
      </c>
      <c r="G124" s="579" t="s">
        <v>2252</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2274</v>
      </c>
    </row>
    <row r="137" spans="1:17" ht="15">
      <c r="B137" s="1880" t="s">
        <v>2275</v>
      </c>
      <c r="C137" s="1881"/>
      <c r="D137" s="1881"/>
      <c r="E137" s="1881"/>
      <c r="F137" s="1881"/>
      <c r="G137" s="1882"/>
      <c r="H137" s="1883"/>
      <c r="I137" s="1884" t="s">
        <v>2276</v>
      </c>
      <c r="J137" s="1881"/>
      <c r="K137" s="1885"/>
    </row>
    <row r="138" spans="1:17" ht="15">
      <c r="B138" s="1886"/>
      <c r="C138" s="1887" t="s">
        <v>2277</v>
      </c>
      <c r="D138" s="1887" t="s">
        <v>2278</v>
      </c>
      <c r="E138" s="1888" t="s">
        <v>2279</v>
      </c>
      <c r="F138" s="1889" t="s">
        <v>2280</v>
      </c>
      <c r="G138" s="1887" t="s">
        <v>2278</v>
      </c>
      <c r="H138" s="1890" t="s">
        <v>2279</v>
      </c>
      <c r="I138" s="1891"/>
      <c r="J138" s="1887" t="s">
        <v>2281</v>
      </c>
      <c r="K138" s="1890" t="s">
        <v>2282</v>
      </c>
    </row>
    <row r="139" spans="1:17" ht="15">
      <c r="B139" s="1892">
        <v>6</v>
      </c>
      <c r="C139" s="1893">
        <v>96</v>
      </c>
      <c r="D139" s="1894" t="s">
        <v>2283</v>
      </c>
      <c r="E139" s="1895">
        <v>100</v>
      </c>
      <c r="F139" s="1896">
        <v>102.5</v>
      </c>
      <c r="G139" s="1894" t="s">
        <v>2283</v>
      </c>
      <c r="H139" s="1897">
        <v>105</v>
      </c>
      <c r="I139" s="1898" t="s">
        <v>2284</v>
      </c>
      <c r="J139" s="1893">
        <v>20</v>
      </c>
      <c r="K139" s="1899">
        <f>C145/(J139-2)</f>
        <v>4.0555555555555553E-3</v>
      </c>
    </row>
    <row r="140" spans="1:17" ht="15">
      <c r="B140" s="1900">
        <v>5</v>
      </c>
      <c r="C140" s="1901">
        <v>100</v>
      </c>
      <c r="D140" s="1901"/>
      <c r="E140" s="1902"/>
      <c r="F140" s="1903">
        <v>102</v>
      </c>
      <c r="G140" s="1901"/>
      <c r="H140" s="1904"/>
      <c r="I140" s="1905" t="s">
        <v>2285</v>
      </c>
      <c r="J140" s="1906">
        <f>ROUNDUP((J139-1)/2,0)</f>
        <v>10</v>
      </c>
      <c r="K140" s="1907">
        <v>100</v>
      </c>
    </row>
    <row r="141" spans="1:17" ht="15">
      <c r="B141" s="1900">
        <v>4</v>
      </c>
      <c r="C141" s="1901">
        <v>102</v>
      </c>
      <c r="D141" s="1901"/>
      <c r="E141" s="1902"/>
      <c r="F141" s="1903">
        <v>101.5</v>
      </c>
      <c r="G141" s="1901"/>
      <c r="H141" s="1904"/>
      <c r="I141" s="1905" t="s">
        <v>2286</v>
      </c>
      <c r="J141" s="1906">
        <v>1</v>
      </c>
      <c r="K141" s="1908">
        <f>ROUND(100+(J141-J140)*K139*100,1)</f>
        <v>96.4</v>
      </c>
    </row>
    <row r="142" spans="1:17" ht="15">
      <c r="B142" s="1900">
        <v>3</v>
      </c>
      <c r="C142" s="1901">
        <v>103</v>
      </c>
      <c r="D142" s="1901"/>
      <c r="E142" s="1902"/>
      <c r="F142" s="1903">
        <v>101</v>
      </c>
      <c r="G142" s="1901"/>
      <c r="H142" s="1904"/>
      <c r="I142" s="1905" t="s">
        <v>2287</v>
      </c>
      <c r="J142" s="1906">
        <f>J139</f>
        <v>20</v>
      </c>
      <c r="K142" s="1909">
        <v>95</v>
      </c>
    </row>
    <row r="143" spans="1:17" ht="15">
      <c r="B143" s="1900">
        <v>2</v>
      </c>
      <c r="C143" s="1901">
        <v>100</v>
      </c>
      <c r="D143" s="1901"/>
      <c r="E143" s="1902"/>
      <c r="F143" s="1903">
        <v>100.5</v>
      </c>
      <c r="G143" s="1901"/>
      <c r="H143" s="1904"/>
      <c r="I143" s="1905" t="s">
        <v>2288</v>
      </c>
      <c r="J143" s="1901">
        <v>15</v>
      </c>
      <c r="K143" s="1908">
        <f>ROUND(100+(J143-J140)*K139*100,1)</f>
        <v>102</v>
      </c>
    </row>
    <row r="144" spans="1:17" ht="15">
      <c r="B144" s="1900">
        <v>1</v>
      </c>
      <c r="C144" s="1901">
        <v>98</v>
      </c>
      <c r="D144" s="1388" t="s">
        <v>2289</v>
      </c>
      <c r="E144" s="1902">
        <v>102</v>
      </c>
      <c r="F144" s="1910">
        <v>100</v>
      </c>
      <c r="G144" s="1388" t="s">
        <v>2289</v>
      </c>
      <c r="H144" s="1904">
        <v>105</v>
      </c>
      <c r="I144" s="1905" t="s">
        <v>2288</v>
      </c>
      <c r="J144" s="1901">
        <v>18</v>
      </c>
      <c r="K144" s="1908">
        <f>ROUND(100+(J144-J140)*K139*100,1)</f>
        <v>103.2</v>
      </c>
    </row>
    <row r="145" spans="2:11" ht="15.75" thickBot="1">
      <c r="B145" s="1911" t="s">
        <v>2290</v>
      </c>
      <c r="C145" s="1912">
        <f>ROUND(MAX(C139:C144)/MIN(C139:C144)-1,3)</f>
        <v>7.2999999999999995E-2</v>
      </c>
      <c r="D145" s="1913"/>
      <c r="E145" s="1913"/>
      <c r="F145" s="1542" t="s">
        <v>2291</v>
      </c>
      <c r="G145" s="1914"/>
      <c r="H145" s="1915"/>
      <c r="I145" s="1916" t="s">
        <v>2288</v>
      </c>
      <c r="J145" s="1917">
        <v>8</v>
      </c>
      <c r="K145" s="1918">
        <f>ROUND(100+(J145-J140)*K139*100,1)</f>
        <v>99.2</v>
      </c>
    </row>
    <row r="147" spans="2:11">
      <c r="B147" s="1541" t="s">
        <v>2292</v>
      </c>
    </row>
    <row r="148" spans="2:11">
      <c r="B148" s="1541" t="s">
        <v>2293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2294</v>
      </c>
      <c r="C1" s="1607"/>
      <c r="D1" s="2438"/>
      <c r="E1" s="1609"/>
      <c r="F1" s="1610" t="s">
        <v>2183</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元</v>
      </c>
      <c r="D2" s="1620"/>
      <c r="E2" s="2439" t="e">
        <f ca="1">SUMIF(INDIRECT("'"&amp;G2&amp;"'"&amp;"!A:A"),"承租人权益价值",INDIRECT("'"&amp;G2&amp;"'"&amp;"!c:c"))</f>
        <v>#REF!</v>
      </c>
      <c r="F2" s="1622" t="str">
        <f>C2</f>
        <v>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2184</v>
      </c>
      <c r="D3" s="1628">
        <f>IF(C1="仅计算典型户型",'数据-取费表'!E5,'数据-取费表'!B5)</f>
        <v>259.41000000000003</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2185</v>
      </c>
      <c r="B4" s="1632"/>
      <c r="C4" s="3638" t="s">
        <v>2186</v>
      </c>
      <c r="D4" s="3639"/>
      <c r="E4" s="3640" t="s">
        <v>2187</v>
      </c>
      <c r="F4" s="3641"/>
      <c r="G4" s="3638" t="s">
        <v>2188</v>
      </c>
      <c r="H4" s="3639"/>
      <c r="I4" s="3638" t="s">
        <v>2189</v>
      </c>
      <c r="J4" s="3639"/>
      <c r="K4" s="1934" t="s">
        <v>2190</v>
      </c>
      <c r="L4" s="2964"/>
      <c r="M4" s="2965"/>
      <c r="N4" s="2965"/>
      <c r="O4" s="2965"/>
      <c r="P4" s="3642" t="s">
        <v>2191</v>
      </c>
      <c r="Q4" s="3643"/>
      <c r="R4" s="3627" t="s">
        <v>2187</v>
      </c>
      <c r="S4" s="3628"/>
      <c r="T4" s="3627" t="s">
        <v>2188</v>
      </c>
      <c r="U4" s="3628"/>
      <c r="V4" s="3648" t="s">
        <v>2189</v>
      </c>
      <c r="W4" s="3648"/>
      <c r="X4" s="2043"/>
      <c r="Y4" s="3627" t="s">
        <v>2191</v>
      </c>
      <c r="Z4" s="3628"/>
      <c r="AA4" s="3635" t="s">
        <v>2187</v>
      </c>
      <c r="AB4" s="3648" t="s">
        <v>2188</v>
      </c>
      <c r="AC4" s="3635" t="s">
        <v>2189</v>
      </c>
    </row>
    <row r="5" spans="1:29" ht="15">
      <c r="A5" s="1636"/>
      <c r="B5" s="1637"/>
      <c r="C5" s="3623" t="s">
        <v>2192</v>
      </c>
      <c r="D5" s="3624"/>
      <c r="E5" s="3649" t="s">
        <v>2193</v>
      </c>
      <c r="F5" s="3650"/>
      <c r="G5" s="3623" t="s">
        <v>2194</v>
      </c>
      <c r="H5" s="3624"/>
      <c r="I5" s="3623" t="s">
        <v>2195</v>
      </c>
      <c r="J5" s="3624"/>
      <c r="K5" s="1934"/>
      <c r="L5" s="2964"/>
      <c r="M5" s="2965"/>
      <c r="N5" s="2965"/>
      <c r="O5" s="2965"/>
      <c r="P5" s="3644"/>
      <c r="Q5" s="3645"/>
      <c r="R5" s="3629"/>
      <c r="S5" s="3630"/>
      <c r="T5" s="3629"/>
      <c r="U5" s="3630"/>
      <c r="V5" s="3648"/>
      <c r="W5" s="3648"/>
      <c r="X5" s="2043"/>
      <c r="Y5" s="3629"/>
      <c r="Z5" s="3630"/>
      <c r="AA5" s="3636"/>
      <c r="AB5" s="3648"/>
      <c r="AC5" s="3636"/>
    </row>
    <row r="6" spans="1:29" ht="15.75" thickBot="1">
      <c r="A6" s="1639"/>
      <c r="B6" s="1640"/>
      <c r="C6" s="3621" t="s">
        <v>2196</v>
      </c>
      <c r="D6" s="3622"/>
      <c r="E6" s="3651" t="s">
        <v>2196</v>
      </c>
      <c r="F6" s="3652"/>
      <c r="G6" s="3621" t="s">
        <v>2196</v>
      </c>
      <c r="H6" s="3622"/>
      <c r="I6" s="3621" t="s">
        <v>2196</v>
      </c>
      <c r="J6" s="3622"/>
      <c r="K6" s="1934" t="s">
        <v>2197</v>
      </c>
      <c r="L6" s="2964"/>
      <c r="M6" s="2965"/>
      <c r="N6" s="2965"/>
      <c r="O6" s="2965"/>
      <c r="P6" s="3646"/>
      <c r="Q6" s="3647"/>
      <c r="R6" s="3629"/>
      <c r="S6" s="3630"/>
      <c r="T6" s="3631"/>
      <c r="U6" s="3632"/>
      <c r="V6" s="3648"/>
      <c r="W6" s="3648"/>
      <c r="X6" s="2043"/>
      <c r="Y6" s="3631"/>
      <c r="Z6" s="3632"/>
      <c r="AA6" s="3637"/>
      <c r="AB6" s="3648"/>
      <c r="AC6" s="3637"/>
    </row>
    <row r="7" spans="1:29" s="1653" customFormat="1" ht="15.75" thickBot="1">
      <c r="A7" s="1641" t="s">
        <v>2198</v>
      </c>
      <c r="B7" s="1642"/>
      <c r="C7" s="1643">
        <f>'数据-取费表'!B2</f>
        <v>44636</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625" t="s">
        <v>2199</v>
      </c>
      <c r="Q7" s="3633"/>
      <c r="R7" s="1649" t="s">
        <v>25</v>
      </c>
      <c r="S7" s="1650">
        <f t="shared" ref="S7:S15" si="0">F7</f>
        <v>0</v>
      </c>
      <c r="T7" s="1649" t="s">
        <v>25</v>
      </c>
      <c r="U7" s="1650">
        <f t="shared" ref="U7:U15" si="1">H7</f>
        <v>0</v>
      </c>
      <c r="V7" s="1649" t="s">
        <v>25</v>
      </c>
      <c r="W7" s="1650">
        <f t="shared" ref="W7:W15" si="2">J7</f>
        <v>0</v>
      </c>
      <c r="X7" s="1651"/>
      <c r="Y7" s="3625" t="s">
        <v>2199</v>
      </c>
      <c r="Z7" s="3626"/>
      <c r="AA7" s="1652" t="e">
        <f>D7/F7</f>
        <v>#DIV/0!</v>
      </c>
      <c r="AB7" s="1652" t="e">
        <f>D7/H7</f>
        <v>#DIV/0!</v>
      </c>
      <c r="AC7" s="1652" t="e">
        <f>D7/J7</f>
        <v>#DIV/0!</v>
      </c>
    </row>
    <row r="8" spans="1:29" s="1653" customFormat="1" ht="15.75" thickBot="1">
      <c r="A8" s="1641" t="s">
        <v>2200</v>
      </c>
      <c r="B8" s="1642"/>
      <c r="C8" s="1654" t="s">
        <v>2201</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625" t="s">
        <v>2202</v>
      </c>
      <c r="Q8" s="3626"/>
      <c r="R8" s="1649" t="s">
        <v>25</v>
      </c>
      <c r="S8" s="1650">
        <f t="shared" si="0"/>
        <v>0</v>
      </c>
      <c r="T8" s="1649" t="s">
        <v>25</v>
      </c>
      <c r="U8" s="1650">
        <f t="shared" si="1"/>
        <v>0</v>
      </c>
      <c r="V8" s="1649" t="s">
        <v>25</v>
      </c>
      <c r="W8" s="1650">
        <f t="shared" si="2"/>
        <v>0</v>
      </c>
      <c r="X8" s="1651"/>
      <c r="Y8" s="3625" t="s">
        <v>2202</v>
      </c>
      <c r="Z8" s="3626"/>
      <c r="AA8" s="1652" t="e">
        <f t="shared" ref="AA8:AA46" si="3">D8/F8</f>
        <v>#DIV/0!</v>
      </c>
      <c r="AB8" s="1652" t="e">
        <f t="shared" ref="AB8:AB46" si="4">D8/H8</f>
        <v>#DIV/0!</v>
      </c>
      <c r="AC8" s="1652" t="e">
        <f t="shared" ref="AC8:AC46" si="5">D8/J8</f>
        <v>#DIV/0!</v>
      </c>
    </row>
    <row r="9" spans="1:29" s="1653" customFormat="1">
      <c r="A9" s="2035" t="s">
        <v>2203</v>
      </c>
      <c r="B9" s="1656" t="s">
        <v>2204</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34" t="s">
        <v>2205</v>
      </c>
      <c r="Q9" s="2034" t="str">
        <f t="shared" ref="Q9:Q15" si="6">B9</f>
        <v>用途</v>
      </c>
      <c r="R9" s="1649" t="s">
        <v>25</v>
      </c>
      <c r="S9" s="1650">
        <f t="shared" si="0"/>
        <v>100</v>
      </c>
      <c r="T9" s="1649" t="s">
        <v>25</v>
      </c>
      <c r="U9" s="1650">
        <f t="shared" si="1"/>
        <v>100</v>
      </c>
      <c r="V9" s="1649" t="s">
        <v>25</v>
      </c>
      <c r="W9" s="1650">
        <f t="shared" si="2"/>
        <v>100</v>
      </c>
      <c r="X9" s="1651"/>
      <c r="Y9" s="3446" t="s">
        <v>2206</v>
      </c>
      <c r="Z9" s="1662" t="str">
        <f t="shared" ref="Z9:Z15" si="7">Q9</f>
        <v>用途</v>
      </c>
      <c r="AA9" s="1652">
        <f t="shared" si="3"/>
        <v>1</v>
      </c>
      <c r="AB9" s="1652">
        <f t="shared" si="4"/>
        <v>1</v>
      </c>
      <c r="AC9" s="1652">
        <f t="shared" si="5"/>
        <v>1</v>
      </c>
    </row>
    <row r="10" spans="1:29" s="1670" customFormat="1" ht="27">
      <c r="A10" s="1663"/>
      <c r="B10" s="1664" t="s">
        <v>2207</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34"/>
      <c r="Q10" s="2034" t="str">
        <f t="shared" si="6"/>
        <v>土地使用年限（年）</v>
      </c>
      <c r="R10" s="1649" t="s">
        <v>25</v>
      </c>
      <c r="S10" s="1650">
        <f t="shared" si="0"/>
        <v>100</v>
      </c>
      <c r="T10" s="1649" t="s">
        <v>25</v>
      </c>
      <c r="U10" s="1650">
        <f t="shared" si="1"/>
        <v>100</v>
      </c>
      <c r="V10" s="1649" t="s">
        <v>25</v>
      </c>
      <c r="W10" s="1650">
        <f t="shared" si="2"/>
        <v>100</v>
      </c>
      <c r="X10" s="1651"/>
      <c r="Y10" s="3446"/>
      <c r="Z10" s="1662" t="str">
        <f t="shared" si="7"/>
        <v>土地使用年限（年）</v>
      </c>
      <c r="AA10" s="1652">
        <f t="shared" si="3"/>
        <v>1</v>
      </c>
      <c r="AB10" s="1652">
        <f t="shared" si="4"/>
        <v>1</v>
      </c>
      <c r="AC10" s="1652">
        <f t="shared" si="5"/>
        <v>1</v>
      </c>
    </row>
    <row r="11" spans="1:29" ht="15">
      <c r="A11" s="1671"/>
      <c r="B11" s="1664" t="s">
        <v>2208</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34"/>
      <c r="Q11" s="2034" t="str">
        <f t="shared" si="6"/>
        <v>容积率</v>
      </c>
      <c r="R11" s="1649" t="s">
        <v>25</v>
      </c>
      <c r="S11" s="1650" t="e">
        <f t="shared" si="0"/>
        <v>#N/A</v>
      </c>
      <c r="T11" s="1649" t="s">
        <v>25</v>
      </c>
      <c r="U11" s="1650" t="e">
        <f t="shared" si="1"/>
        <v>#N/A</v>
      </c>
      <c r="V11" s="1649" t="s">
        <v>25</v>
      </c>
      <c r="W11" s="1650" t="e">
        <f t="shared" si="2"/>
        <v>#N/A</v>
      </c>
      <c r="X11" s="1651"/>
      <c r="Y11" s="3446"/>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34"/>
      <c r="Q12" s="2034">
        <f t="shared" si="6"/>
        <v>111</v>
      </c>
      <c r="R12" s="1649" t="s">
        <v>25</v>
      </c>
      <c r="S12" s="1650">
        <f t="shared" si="0"/>
        <v>100</v>
      </c>
      <c r="T12" s="1649" t="s">
        <v>25</v>
      </c>
      <c r="U12" s="1650">
        <f t="shared" si="1"/>
        <v>100</v>
      </c>
      <c r="V12" s="1649" t="s">
        <v>25</v>
      </c>
      <c r="W12" s="1650">
        <f t="shared" si="2"/>
        <v>100</v>
      </c>
      <c r="X12" s="1651"/>
      <c r="Y12" s="3446"/>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34"/>
      <c r="Q13" s="2034">
        <f t="shared" si="6"/>
        <v>111</v>
      </c>
      <c r="R13" s="1649" t="s">
        <v>25</v>
      </c>
      <c r="S13" s="1650">
        <f t="shared" si="0"/>
        <v>100</v>
      </c>
      <c r="T13" s="1649" t="s">
        <v>25</v>
      </c>
      <c r="U13" s="1650">
        <f t="shared" si="1"/>
        <v>100</v>
      </c>
      <c r="V13" s="1649" t="s">
        <v>25</v>
      </c>
      <c r="W13" s="1650">
        <f t="shared" si="2"/>
        <v>100</v>
      </c>
      <c r="X13" s="1651"/>
      <c r="Y13" s="3446"/>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34"/>
      <c r="Q14" s="2034">
        <f t="shared" si="6"/>
        <v>111</v>
      </c>
      <c r="R14" s="1649" t="s">
        <v>25</v>
      </c>
      <c r="S14" s="1650">
        <f t="shared" si="0"/>
        <v>100</v>
      </c>
      <c r="T14" s="1649" t="s">
        <v>25</v>
      </c>
      <c r="U14" s="1650">
        <f t="shared" si="1"/>
        <v>100</v>
      </c>
      <c r="V14" s="1649" t="s">
        <v>25</v>
      </c>
      <c r="W14" s="1650">
        <f t="shared" si="2"/>
        <v>100</v>
      </c>
      <c r="X14" s="1651"/>
      <c r="Y14" s="3446"/>
      <c r="Z14" s="1662">
        <f t="shared" si="7"/>
        <v>111</v>
      </c>
      <c r="AA14" s="1652">
        <f t="shared" si="3"/>
        <v>1</v>
      </c>
      <c r="AB14" s="1652">
        <f t="shared" si="4"/>
        <v>1</v>
      </c>
      <c r="AC14" s="1652">
        <f t="shared" si="5"/>
        <v>1</v>
      </c>
    </row>
    <row r="15" spans="1:29" ht="71.25">
      <c r="A15" s="1686" t="s">
        <v>2209</v>
      </c>
      <c r="B15" s="1687" t="s">
        <v>2295</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12" t="s">
        <v>2210</v>
      </c>
      <c r="Q15" s="2040" t="str">
        <f t="shared" si="6"/>
        <v>商业繁华度</v>
      </c>
      <c r="R15" s="1694" t="s">
        <v>25</v>
      </c>
      <c r="S15" s="1695">
        <f t="shared" si="0"/>
        <v>100</v>
      </c>
      <c r="T15" s="1694" t="s">
        <v>25</v>
      </c>
      <c r="U15" s="1695">
        <f t="shared" si="1"/>
        <v>100</v>
      </c>
      <c r="V15" s="1694" t="s">
        <v>25</v>
      </c>
      <c r="W15" s="1695">
        <f t="shared" si="2"/>
        <v>100</v>
      </c>
      <c r="X15" s="2043"/>
      <c r="Y15" s="3614" t="s">
        <v>2210</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13"/>
      <c r="Q16" s="2040"/>
      <c r="R16" s="1694"/>
      <c r="S16" s="1695"/>
      <c r="T16" s="1694"/>
      <c r="U16" s="1695"/>
      <c r="V16" s="1694"/>
      <c r="W16" s="1695"/>
      <c r="X16" s="2043"/>
      <c r="Y16" s="3615"/>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13"/>
      <c r="Q17" s="2040" t="str">
        <f>B17</f>
        <v>交通便捷度</v>
      </c>
      <c r="R17" s="1694" t="s">
        <v>25</v>
      </c>
      <c r="S17" s="1695">
        <f>F17</f>
        <v>100</v>
      </c>
      <c r="T17" s="1694" t="s">
        <v>25</v>
      </c>
      <c r="U17" s="1695">
        <f>H17</f>
        <v>100</v>
      </c>
      <c r="V17" s="1694" t="s">
        <v>25</v>
      </c>
      <c r="W17" s="1695">
        <f>J17</f>
        <v>100</v>
      </c>
      <c r="X17" s="2043"/>
      <c r="Y17" s="3615"/>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13"/>
      <c r="Q18" s="2040"/>
      <c r="R18" s="1694"/>
      <c r="S18" s="1695"/>
      <c r="T18" s="1694"/>
      <c r="U18" s="1695"/>
      <c r="V18" s="1694"/>
      <c r="W18" s="1695"/>
      <c r="X18" s="2043"/>
      <c r="Y18" s="3615"/>
      <c r="Z18" s="2047"/>
      <c r="AA18" s="2038">
        <v>1</v>
      </c>
      <c r="AB18" s="2038">
        <v>1</v>
      </c>
      <c r="AC18" s="2038">
        <v>1</v>
      </c>
    </row>
    <row r="19" spans="1:29" ht="42.75">
      <c r="A19" s="1671"/>
      <c r="B19" s="1706" t="s">
        <v>2296</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13"/>
      <c r="Q19" s="2040" t="str">
        <f>B19</f>
        <v>公共配套设施</v>
      </c>
      <c r="R19" s="1694" t="s">
        <v>25</v>
      </c>
      <c r="S19" s="1695">
        <f>F19</f>
        <v>100</v>
      </c>
      <c r="T19" s="1694" t="s">
        <v>25</v>
      </c>
      <c r="U19" s="1695">
        <f>H19</f>
        <v>100</v>
      </c>
      <c r="V19" s="1694" t="s">
        <v>25</v>
      </c>
      <c r="W19" s="1695">
        <f>J19</f>
        <v>100</v>
      </c>
      <c r="X19" s="2043"/>
      <c r="Y19" s="3615"/>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13"/>
      <c r="Q20" s="2040"/>
      <c r="R20" s="1694"/>
      <c r="S20" s="1695"/>
      <c r="T20" s="1694"/>
      <c r="U20" s="1695"/>
      <c r="V20" s="1694"/>
      <c r="W20" s="1695"/>
      <c r="X20" s="2043"/>
      <c r="Y20" s="3615"/>
      <c r="Z20" s="2047"/>
      <c r="AA20" s="2038">
        <v>1</v>
      </c>
      <c r="AB20" s="2038">
        <v>1</v>
      </c>
      <c r="AC20" s="2038">
        <v>1</v>
      </c>
    </row>
    <row r="21" spans="1:29" ht="28.5">
      <c r="A21" s="1671"/>
      <c r="B21" s="1719" t="s">
        <v>2297</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13"/>
      <c r="Q21" s="2040" t="str">
        <f>B21</f>
        <v>基础设施水平</v>
      </c>
      <c r="R21" s="1694" t="s">
        <v>25</v>
      </c>
      <c r="S21" s="1695">
        <f>F21</f>
        <v>100</v>
      </c>
      <c r="T21" s="1694" t="s">
        <v>25</v>
      </c>
      <c r="U21" s="1695">
        <f>H21</f>
        <v>100</v>
      </c>
      <c r="V21" s="1694" t="s">
        <v>25</v>
      </c>
      <c r="W21" s="1695">
        <f>J21</f>
        <v>100</v>
      </c>
      <c r="X21" s="2043"/>
      <c r="Y21" s="3615"/>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13"/>
      <c r="Q22" s="2040"/>
      <c r="R22" s="1694"/>
      <c r="S22" s="1695"/>
      <c r="T22" s="1694"/>
      <c r="U22" s="1695"/>
      <c r="V22" s="1694"/>
      <c r="W22" s="1695"/>
      <c r="X22" s="2043"/>
      <c r="Y22" s="3615"/>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13"/>
      <c r="Q23" s="2040" t="str">
        <f>B23</f>
        <v>自然及人文环境</v>
      </c>
      <c r="R23" s="1694" t="s">
        <v>25</v>
      </c>
      <c r="S23" s="1695">
        <f>F23</f>
        <v>100</v>
      </c>
      <c r="T23" s="1694" t="s">
        <v>25</v>
      </c>
      <c r="U23" s="1695">
        <f>H23</f>
        <v>100</v>
      </c>
      <c r="V23" s="1694" t="s">
        <v>25</v>
      </c>
      <c r="W23" s="1695">
        <f>J23</f>
        <v>100</v>
      </c>
      <c r="X23" s="2043"/>
      <c r="Y23" s="3615"/>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13"/>
      <c r="Q24" s="2040"/>
      <c r="R24" s="1694"/>
      <c r="S24" s="1695"/>
      <c r="T24" s="1694"/>
      <c r="U24" s="1695"/>
      <c r="V24" s="1694"/>
      <c r="W24" s="1695"/>
      <c r="X24" s="2043"/>
      <c r="Y24" s="3615"/>
      <c r="Z24" s="2047"/>
      <c r="AA24" s="2038">
        <v>1</v>
      </c>
      <c r="AB24" s="2038">
        <v>1</v>
      </c>
      <c r="AC24" s="2038">
        <v>1</v>
      </c>
    </row>
    <row r="25" spans="1:29" ht="15">
      <c r="A25" s="1671"/>
      <c r="B25" s="1664" t="s">
        <v>2298</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13"/>
      <c r="Q25" s="2040" t="str">
        <f t="shared" ref="Q25:Q46" si="11">B25</f>
        <v>临街状况</v>
      </c>
      <c r="R25" s="1694" t="s">
        <v>25</v>
      </c>
      <c r="S25" s="1695">
        <f>F25</f>
        <v>100</v>
      </c>
      <c r="T25" s="1694" t="s">
        <v>25</v>
      </c>
      <c r="U25" s="1695">
        <f>H25</f>
        <v>100</v>
      </c>
      <c r="V25" s="1694" t="s">
        <v>25</v>
      </c>
      <c r="W25" s="1695">
        <f>J25</f>
        <v>100</v>
      </c>
      <c r="X25" s="2043"/>
      <c r="Y25" s="3615"/>
      <c r="Z25" s="2047" t="str">
        <f>Q25</f>
        <v>临街状况</v>
      </c>
      <c r="AA25" s="2038">
        <f t="shared" si="3"/>
        <v>1</v>
      </c>
      <c r="AB25" s="2038">
        <f t="shared" si="4"/>
        <v>1</v>
      </c>
      <c r="AC25" s="2038">
        <f t="shared" si="5"/>
        <v>1</v>
      </c>
    </row>
    <row r="26" spans="1:29" ht="15">
      <c r="A26" s="1671"/>
      <c r="B26" s="1729" t="s">
        <v>2299</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13"/>
      <c r="Q26" s="2040" t="str">
        <f t="shared" si="11"/>
        <v>平面位置/可视性</v>
      </c>
      <c r="R26" s="1694" t="s">
        <v>25</v>
      </c>
      <c r="S26" s="1695">
        <f>F26</f>
        <v>100</v>
      </c>
      <c r="T26" s="1694" t="s">
        <v>25</v>
      </c>
      <c r="U26" s="1695">
        <f>H26</f>
        <v>100</v>
      </c>
      <c r="V26" s="1694" t="s">
        <v>25</v>
      </c>
      <c r="W26" s="1695">
        <f>J26</f>
        <v>100</v>
      </c>
      <c r="X26" s="2043"/>
      <c r="Y26" s="3615"/>
      <c r="Z26" s="2047" t="str">
        <f>Q26</f>
        <v>平面位置/可视性</v>
      </c>
      <c r="AA26" s="2038">
        <f t="shared" si="3"/>
        <v>1</v>
      </c>
      <c r="AB26" s="2038">
        <f t="shared" si="4"/>
        <v>1</v>
      </c>
      <c r="AC26" s="2038">
        <f t="shared" si="5"/>
        <v>1</v>
      </c>
    </row>
    <row r="27" spans="1:29" s="1653" customFormat="1" ht="15">
      <c r="A27" s="1674"/>
      <c r="B27" s="1706" t="s">
        <v>2300</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13"/>
      <c r="Q27" s="2034" t="str">
        <f t="shared" si="11"/>
        <v>人流量</v>
      </c>
      <c r="R27" s="1649" t="s">
        <v>25</v>
      </c>
      <c r="S27" s="1650">
        <f>F27</f>
        <v>100</v>
      </c>
      <c r="T27" s="1649" t="s">
        <v>25</v>
      </c>
      <c r="U27" s="1650">
        <f>H27</f>
        <v>100</v>
      </c>
      <c r="V27" s="1649" t="s">
        <v>25</v>
      </c>
      <c r="W27" s="1650">
        <f>J27</f>
        <v>100</v>
      </c>
      <c r="X27" s="1651"/>
      <c r="Y27" s="3615"/>
      <c r="Z27" s="1662" t="str">
        <f>Q27</f>
        <v>人流量</v>
      </c>
      <c r="AA27" s="2038">
        <f>D27/F27</f>
        <v>1</v>
      </c>
      <c r="AB27" s="2038">
        <f>D27/H27</f>
        <v>1</v>
      </c>
      <c r="AC27" s="2038">
        <f>D27/J27</f>
        <v>1</v>
      </c>
    </row>
    <row r="28" spans="1:29" ht="15">
      <c r="A28" s="1671"/>
      <c r="B28" s="1664" t="s">
        <v>2301</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13"/>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15"/>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13"/>
      <c r="Q29" s="2040">
        <f t="shared" si="11"/>
        <v>111</v>
      </c>
      <c r="R29" s="1694" t="s">
        <v>25</v>
      </c>
      <c r="S29" s="1695">
        <f t="shared" si="12"/>
        <v>100</v>
      </c>
      <c r="T29" s="1694" t="s">
        <v>25</v>
      </c>
      <c r="U29" s="1695">
        <f t="shared" si="13"/>
        <v>100</v>
      </c>
      <c r="V29" s="1694" t="s">
        <v>25</v>
      </c>
      <c r="W29" s="1695">
        <f t="shared" si="14"/>
        <v>100</v>
      </c>
      <c r="X29" s="2043"/>
      <c r="Y29" s="3615"/>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13"/>
      <c r="Q30" s="2040">
        <f t="shared" si="11"/>
        <v>111</v>
      </c>
      <c r="R30" s="1694" t="s">
        <v>25</v>
      </c>
      <c r="S30" s="1695">
        <f t="shared" si="12"/>
        <v>100</v>
      </c>
      <c r="T30" s="1694" t="s">
        <v>25</v>
      </c>
      <c r="U30" s="1695">
        <f t="shared" si="13"/>
        <v>100</v>
      </c>
      <c r="V30" s="1694" t="s">
        <v>25</v>
      </c>
      <c r="W30" s="1695">
        <f t="shared" si="14"/>
        <v>100</v>
      </c>
      <c r="X30" s="2043"/>
      <c r="Y30" s="3615"/>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13"/>
      <c r="Q31" s="2040">
        <f t="shared" si="11"/>
        <v>111</v>
      </c>
      <c r="R31" s="1694" t="s">
        <v>25</v>
      </c>
      <c r="S31" s="1695">
        <f t="shared" si="12"/>
        <v>100</v>
      </c>
      <c r="T31" s="1694" t="s">
        <v>25</v>
      </c>
      <c r="U31" s="1695">
        <f t="shared" si="13"/>
        <v>100</v>
      </c>
      <c r="V31" s="1694" t="s">
        <v>25</v>
      </c>
      <c r="W31" s="1695">
        <f t="shared" si="14"/>
        <v>100</v>
      </c>
      <c r="X31" s="2043"/>
      <c r="Y31" s="3615"/>
      <c r="Z31" s="2047">
        <f t="shared" si="15"/>
        <v>111</v>
      </c>
      <c r="AA31" s="2038">
        <f t="shared" si="3"/>
        <v>1</v>
      </c>
      <c r="AB31" s="2038">
        <f t="shared" si="4"/>
        <v>1</v>
      </c>
      <c r="AC31" s="2038">
        <f t="shared" si="5"/>
        <v>1</v>
      </c>
    </row>
    <row r="32" spans="1:29" ht="15">
      <c r="A32" s="1686" t="s">
        <v>2214</v>
      </c>
      <c r="B32" s="1656" t="s">
        <v>2302</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16" t="s">
        <v>2216</v>
      </c>
      <c r="Q32" s="2040" t="str">
        <f t="shared" si="11"/>
        <v>商业类型</v>
      </c>
      <c r="R32" s="1694" t="s">
        <v>25</v>
      </c>
      <c r="S32" s="1695">
        <f t="shared" si="12"/>
        <v>100</v>
      </c>
      <c r="T32" s="1694" t="s">
        <v>25</v>
      </c>
      <c r="U32" s="1695">
        <f t="shared" si="13"/>
        <v>100</v>
      </c>
      <c r="V32" s="1694" t="s">
        <v>25</v>
      </c>
      <c r="W32" s="1695">
        <f t="shared" si="14"/>
        <v>100</v>
      </c>
      <c r="X32" s="2043"/>
      <c r="Y32" s="3619" t="s">
        <v>2216</v>
      </c>
      <c r="Z32" s="2047" t="str">
        <f t="shared" si="15"/>
        <v>商业类型</v>
      </c>
      <c r="AA32" s="2038">
        <f t="shared" si="3"/>
        <v>1</v>
      </c>
      <c r="AB32" s="2038">
        <f t="shared" si="4"/>
        <v>1</v>
      </c>
      <c r="AC32" s="2038">
        <f t="shared" si="5"/>
        <v>1</v>
      </c>
    </row>
    <row r="33" spans="1:29" s="1740" customFormat="1" ht="15">
      <c r="A33" s="1733"/>
      <c r="B33" s="1664" t="s">
        <v>2217</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17"/>
      <c r="Q33" s="1735" t="str">
        <f t="shared" si="11"/>
        <v>项目建筑规模</v>
      </c>
      <c r="R33" s="1736" t="s">
        <v>25</v>
      </c>
      <c r="S33" s="1737" t="e">
        <f t="shared" si="12"/>
        <v>#N/A</v>
      </c>
      <c r="T33" s="1736" t="s">
        <v>25</v>
      </c>
      <c r="U33" s="1737" t="e">
        <f t="shared" si="13"/>
        <v>#N/A</v>
      </c>
      <c r="V33" s="1736" t="s">
        <v>25</v>
      </c>
      <c r="W33" s="1737" t="e">
        <f t="shared" si="14"/>
        <v>#N/A</v>
      </c>
      <c r="X33" s="1738"/>
      <c r="Y33" s="3619"/>
      <c r="Z33" s="1739" t="str">
        <f t="shared" si="15"/>
        <v>项目建筑规模</v>
      </c>
      <c r="AA33" s="2038" t="e">
        <f t="shared" si="3"/>
        <v>#N/A</v>
      </c>
      <c r="AB33" s="2038" t="e">
        <f t="shared" si="4"/>
        <v>#N/A</v>
      </c>
      <c r="AC33" s="2038" t="e">
        <f t="shared" si="5"/>
        <v>#N/A</v>
      </c>
    </row>
    <row r="34" spans="1:29" ht="15">
      <c r="A34" s="1741"/>
      <c r="B34" s="1664" t="s">
        <v>2218</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17"/>
      <c r="Q34" s="2040" t="str">
        <f t="shared" si="11"/>
        <v>建筑结构</v>
      </c>
      <c r="R34" s="1694" t="s">
        <v>25</v>
      </c>
      <c r="S34" s="1695">
        <f t="shared" si="12"/>
        <v>100</v>
      </c>
      <c r="T34" s="1694" t="s">
        <v>25</v>
      </c>
      <c r="U34" s="1695">
        <f t="shared" si="13"/>
        <v>100</v>
      </c>
      <c r="V34" s="1694" t="s">
        <v>25</v>
      </c>
      <c r="W34" s="1695">
        <f t="shared" si="14"/>
        <v>100</v>
      </c>
      <c r="X34" s="2043"/>
      <c r="Y34" s="3619"/>
      <c r="Z34" s="2047" t="str">
        <f t="shared" si="15"/>
        <v>建筑结构</v>
      </c>
      <c r="AA34" s="2038">
        <f t="shared" si="3"/>
        <v>1</v>
      </c>
      <c r="AB34" s="2038">
        <f t="shared" si="4"/>
        <v>1</v>
      </c>
      <c r="AC34" s="2038">
        <f t="shared" si="5"/>
        <v>1</v>
      </c>
    </row>
    <row r="35" spans="1:29" ht="15">
      <c r="A35" s="1741"/>
      <c r="B35" s="1664" t="s">
        <v>2303</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17"/>
      <c r="Q35" s="2040" t="str">
        <f t="shared" si="11"/>
        <v>公共部分装修</v>
      </c>
      <c r="R35" s="1694" t="s">
        <v>25</v>
      </c>
      <c r="S35" s="1695">
        <f t="shared" si="12"/>
        <v>100</v>
      </c>
      <c r="T35" s="1694" t="s">
        <v>25</v>
      </c>
      <c r="U35" s="1695">
        <f t="shared" si="13"/>
        <v>100</v>
      </c>
      <c r="V35" s="1694" t="s">
        <v>25</v>
      </c>
      <c r="W35" s="1695">
        <f t="shared" si="14"/>
        <v>100</v>
      </c>
      <c r="X35" s="2043"/>
      <c r="Y35" s="3619"/>
      <c r="Z35" s="2047" t="str">
        <f t="shared" si="15"/>
        <v>公共部分装修</v>
      </c>
      <c r="AA35" s="2038">
        <f t="shared" si="3"/>
        <v>1</v>
      </c>
      <c r="AB35" s="2038">
        <f t="shared" si="4"/>
        <v>1</v>
      </c>
      <c r="AC35" s="2038">
        <f t="shared" si="5"/>
        <v>1</v>
      </c>
    </row>
    <row r="36" spans="1:29" ht="15">
      <c r="A36" s="1741"/>
      <c r="B36" s="1664" t="s">
        <v>2304</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17"/>
      <c r="Q36" s="2040" t="str">
        <f t="shared" si="11"/>
        <v>成新度</v>
      </c>
      <c r="R36" s="1694" t="s">
        <v>25</v>
      </c>
      <c r="S36" s="1695" t="e">
        <f t="shared" si="12"/>
        <v>#N/A</v>
      </c>
      <c r="T36" s="1694" t="s">
        <v>25</v>
      </c>
      <c r="U36" s="1695" t="e">
        <f t="shared" si="13"/>
        <v>#N/A</v>
      </c>
      <c r="V36" s="1694" t="s">
        <v>25</v>
      </c>
      <c r="W36" s="1695" t="e">
        <f t="shared" si="14"/>
        <v>#N/A</v>
      </c>
      <c r="X36" s="2043"/>
      <c r="Y36" s="3619"/>
      <c r="Z36" s="2047" t="str">
        <f t="shared" si="15"/>
        <v>成新度</v>
      </c>
      <c r="AA36" s="2038" t="e">
        <f t="shared" si="3"/>
        <v>#N/A</v>
      </c>
      <c r="AB36" s="2038" t="e">
        <f t="shared" si="4"/>
        <v>#N/A</v>
      </c>
      <c r="AC36" s="2038" t="e">
        <f t="shared" si="5"/>
        <v>#N/A</v>
      </c>
    </row>
    <row r="37" spans="1:29" s="1653" customFormat="1" ht="15">
      <c r="A37" s="1744"/>
      <c r="B37" s="1664" t="s">
        <v>2305</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17"/>
      <c r="Q37" s="2034" t="str">
        <f t="shared" si="11"/>
        <v>市政基础设施</v>
      </c>
      <c r="R37" s="1649" t="s">
        <v>25</v>
      </c>
      <c r="S37" s="1650">
        <f t="shared" si="12"/>
        <v>100</v>
      </c>
      <c r="T37" s="1649" t="s">
        <v>25</v>
      </c>
      <c r="U37" s="1650">
        <f t="shared" si="13"/>
        <v>100</v>
      </c>
      <c r="V37" s="1649" t="s">
        <v>25</v>
      </c>
      <c r="W37" s="1650">
        <f t="shared" si="14"/>
        <v>100</v>
      </c>
      <c r="X37" s="1651"/>
      <c r="Y37" s="3619"/>
      <c r="Z37" s="1662" t="str">
        <f t="shared" si="15"/>
        <v>市政基础设施</v>
      </c>
      <c r="AA37" s="1652">
        <f t="shared" si="3"/>
        <v>1</v>
      </c>
      <c r="AB37" s="1652">
        <f t="shared" si="4"/>
        <v>1</v>
      </c>
      <c r="AC37" s="1652">
        <f t="shared" si="5"/>
        <v>1</v>
      </c>
    </row>
    <row r="38" spans="1:29" ht="15">
      <c r="A38" s="1741"/>
      <c r="B38" s="1664" t="s">
        <v>2306</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17" t="s">
        <v>2216</v>
      </c>
      <c r="Q38" s="2040" t="str">
        <f t="shared" si="11"/>
        <v>业态</v>
      </c>
      <c r="R38" s="1694" t="s">
        <v>25</v>
      </c>
      <c r="S38" s="1695">
        <f t="shared" si="12"/>
        <v>100</v>
      </c>
      <c r="T38" s="1694" t="s">
        <v>25</v>
      </c>
      <c r="U38" s="1695">
        <f t="shared" si="13"/>
        <v>100</v>
      </c>
      <c r="V38" s="1694" t="s">
        <v>25</v>
      </c>
      <c r="W38" s="1695">
        <f t="shared" si="14"/>
        <v>100</v>
      </c>
      <c r="X38" s="2043"/>
      <c r="Y38" s="3619" t="s">
        <v>2216</v>
      </c>
      <c r="Z38" s="2047" t="str">
        <f t="shared" si="15"/>
        <v>业态</v>
      </c>
      <c r="AA38" s="2038">
        <f t="shared" si="3"/>
        <v>1</v>
      </c>
      <c r="AB38" s="2038">
        <f t="shared" si="4"/>
        <v>1</v>
      </c>
      <c r="AC38" s="2038">
        <f t="shared" si="5"/>
        <v>1</v>
      </c>
    </row>
    <row r="39" spans="1:29" ht="15">
      <c r="A39" s="1741"/>
      <c r="B39" s="1664" t="s">
        <v>2307</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17"/>
      <c r="Q39" s="2040" t="str">
        <f t="shared" si="11"/>
        <v>层高</v>
      </c>
      <c r="R39" s="1694" t="s">
        <v>25</v>
      </c>
      <c r="S39" s="1695">
        <f t="shared" si="12"/>
        <v>100</v>
      </c>
      <c r="T39" s="1694" t="s">
        <v>25</v>
      </c>
      <c r="U39" s="1695">
        <f t="shared" si="13"/>
        <v>100</v>
      </c>
      <c r="V39" s="1694" t="s">
        <v>25</v>
      </c>
      <c r="W39" s="1695">
        <f t="shared" si="14"/>
        <v>100</v>
      </c>
      <c r="X39" s="2043"/>
      <c r="Y39" s="3619"/>
      <c r="Z39" s="2047" t="str">
        <f t="shared" si="15"/>
        <v>层高</v>
      </c>
      <c r="AA39" s="2038">
        <f t="shared" si="3"/>
        <v>1</v>
      </c>
      <c r="AB39" s="2038">
        <f t="shared" si="4"/>
        <v>1</v>
      </c>
      <c r="AC39" s="2038">
        <f t="shared" si="5"/>
        <v>1</v>
      </c>
    </row>
    <row r="40" spans="1:29" ht="15">
      <c r="A40" s="1741"/>
      <c r="B40" s="1664" t="s">
        <v>2308</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17"/>
      <c r="Q40" s="2040" t="str">
        <f t="shared" si="11"/>
        <v>单套建筑面积</v>
      </c>
      <c r="R40" s="1694" t="s">
        <v>25</v>
      </c>
      <c r="S40" s="1695">
        <f t="shared" si="12"/>
        <v>100</v>
      </c>
      <c r="T40" s="1694" t="s">
        <v>25</v>
      </c>
      <c r="U40" s="1695">
        <f t="shared" si="13"/>
        <v>100</v>
      </c>
      <c r="V40" s="1694" t="s">
        <v>25</v>
      </c>
      <c r="W40" s="1695">
        <f t="shared" si="14"/>
        <v>100</v>
      </c>
      <c r="X40" s="2043"/>
      <c r="Y40" s="3619"/>
      <c r="Z40" s="2047" t="str">
        <f t="shared" si="15"/>
        <v>单套建筑面积</v>
      </c>
      <c r="AA40" s="2038">
        <f t="shared" si="3"/>
        <v>1</v>
      </c>
      <c r="AB40" s="2038">
        <f t="shared" si="4"/>
        <v>1</v>
      </c>
      <c r="AC40" s="2038">
        <f t="shared" si="5"/>
        <v>1</v>
      </c>
    </row>
    <row r="41" spans="1:29" s="1740" customFormat="1" ht="15">
      <c r="A41" s="1733"/>
      <c r="B41" s="2039" t="s">
        <v>2309</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17"/>
      <c r="Q41" s="1735" t="str">
        <f t="shared" si="11"/>
        <v>进深比</v>
      </c>
      <c r="R41" s="1736" t="s">
        <v>25</v>
      </c>
      <c r="S41" s="1737">
        <f t="shared" si="12"/>
        <v>100</v>
      </c>
      <c r="T41" s="1736" t="s">
        <v>25</v>
      </c>
      <c r="U41" s="1737">
        <f t="shared" si="13"/>
        <v>100</v>
      </c>
      <c r="V41" s="1736" t="s">
        <v>25</v>
      </c>
      <c r="W41" s="1737">
        <f t="shared" si="14"/>
        <v>100</v>
      </c>
      <c r="X41" s="1738"/>
      <c r="Y41" s="3619"/>
      <c r="Z41" s="1739" t="str">
        <f t="shared" si="15"/>
        <v>进深比</v>
      </c>
      <c r="AA41" s="2038">
        <f t="shared" si="3"/>
        <v>1</v>
      </c>
      <c r="AB41" s="2038">
        <f t="shared" si="4"/>
        <v>1</v>
      </c>
      <c r="AC41" s="2038">
        <f t="shared" si="5"/>
        <v>1</v>
      </c>
    </row>
    <row r="42" spans="1:29" ht="15">
      <c r="A42" s="1741"/>
      <c r="B42" s="1664" t="s">
        <v>2310</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17"/>
      <c r="Q42" s="2040" t="str">
        <f t="shared" si="11"/>
        <v>内部装修</v>
      </c>
      <c r="R42" s="1694" t="s">
        <v>25</v>
      </c>
      <c r="S42" s="1695">
        <f t="shared" si="12"/>
        <v>100</v>
      </c>
      <c r="T42" s="1694" t="s">
        <v>25</v>
      </c>
      <c r="U42" s="1695">
        <f t="shared" si="13"/>
        <v>100</v>
      </c>
      <c r="V42" s="1694" t="s">
        <v>25</v>
      </c>
      <c r="W42" s="1695">
        <f t="shared" si="14"/>
        <v>100</v>
      </c>
      <c r="X42" s="2043"/>
      <c r="Y42" s="3619"/>
      <c r="Z42" s="2047" t="str">
        <f t="shared" si="15"/>
        <v>内部装修</v>
      </c>
      <c r="AA42" s="2038">
        <f t="shared" si="3"/>
        <v>1</v>
      </c>
      <c r="AB42" s="2038">
        <f t="shared" si="4"/>
        <v>1</v>
      </c>
      <c r="AC42" s="2038">
        <f t="shared" si="5"/>
        <v>1</v>
      </c>
    </row>
    <row r="43" spans="1:29" ht="15">
      <c r="A43" s="1741"/>
      <c r="B43" s="1664" t="s">
        <v>2227</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17"/>
      <c r="Q43" s="2040" t="str">
        <f t="shared" si="11"/>
        <v>内部装修维护情况</v>
      </c>
      <c r="R43" s="1694" t="s">
        <v>25</v>
      </c>
      <c r="S43" s="1695">
        <f t="shared" si="12"/>
        <v>100</v>
      </c>
      <c r="T43" s="1694" t="s">
        <v>25</v>
      </c>
      <c r="U43" s="1695">
        <f t="shared" si="13"/>
        <v>100</v>
      </c>
      <c r="V43" s="1694" t="s">
        <v>25</v>
      </c>
      <c r="W43" s="1695">
        <f t="shared" si="14"/>
        <v>100</v>
      </c>
      <c r="X43" s="2043"/>
      <c r="Y43" s="3619"/>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17"/>
      <c r="Q44" s="2034">
        <f t="shared" si="11"/>
        <v>111</v>
      </c>
      <c r="R44" s="1649" t="s">
        <v>25</v>
      </c>
      <c r="S44" s="1650">
        <f t="shared" si="12"/>
        <v>100</v>
      </c>
      <c r="T44" s="1649" t="s">
        <v>25</v>
      </c>
      <c r="U44" s="1650">
        <f t="shared" si="13"/>
        <v>100</v>
      </c>
      <c r="V44" s="1649" t="s">
        <v>25</v>
      </c>
      <c r="W44" s="1650">
        <f t="shared" si="14"/>
        <v>100</v>
      </c>
      <c r="X44" s="1651"/>
      <c r="Y44" s="361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17"/>
      <c r="Q45" s="2040">
        <f t="shared" si="11"/>
        <v>111</v>
      </c>
      <c r="R45" s="1694" t="s">
        <v>25</v>
      </c>
      <c r="S45" s="1695">
        <f t="shared" si="12"/>
        <v>100</v>
      </c>
      <c r="T45" s="1694" t="s">
        <v>25</v>
      </c>
      <c r="U45" s="1695">
        <f t="shared" si="13"/>
        <v>100</v>
      </c>
      <c r="V45" s="1694" t="s">
        <v>25</v>
      </c>
      <c r="W45" s="1695">
        <f t="shared" si="14"/>
        <v>100</v>
      </c>
      <c r="X45" s="2043"/>
      <c r="Y45" s="3619"/>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18"/>
      <c r="Q46" s="2040">
        <f t="shared" si="11"/>
        <v>111</v>
      </c>
      <c r="R46" s="1694" t="s">
        <v>25</v>
      </c>
      <c r="S46" s="1695">
        <f t="shared" si="12"/>
        <v>100</v>
      </c>
      <c r="T46" s="1694" t="s">
        <v>25</v>
      </c>
      <c r="U46" s="1695">
        <f t="shared" si="13"/>
        <v>100</v>
      </c>
      <c r="V46" s="1694" t="s">
        <v>25</v>
      </c>
      <c r="W46" s="1695">
        <f t="shared" si="14"/>
        <v>100</v>
      </c>
      <c r="X46" s="2043"/>
      <c r="Y46" s="3620"/>
      <c r="Z46" s="2047">
        <f t="shared" si="15"/>
        <v>111</v>
      </c>
      <c r="AA46" s="2038">
        <f t="shared" si="3"/>
        <v>1</v>
      </c>
      <c r="AB46" s="2038">
        <f t="shared" si="4"/>
        <v>1</v>
      </c>
      <c r="AC46" s="2038">
        <f t="shared" si="5"/>
        <v>1</v>
      </c>
    </row>
    <row r="47" spans="1:29" ht="15">
      <c r="A47" s="1750" t="s">
        <v>2228</v>
      </c>
      <c r="B47" s="1751"/>
      <c r="C47" s="1752" t="s">
        <v>1</v>
      </c>
      <c r="D47" s="1753"/>
      <c r="E47" s="1754"/>
      <c r="F47" s="1755"/>
      <c r="G47" s="1756"/>
      <c r="H47" s="1757"/>
      <c r="I47" s="1754"/>
      <c r="J47" s="1757"/>
      <c r="K47" s="1982"/>
      <c r="L47" s="2970"/>
      <c r="N47" s="2965"/>
      <c r="P47" s="3611" t="str">
        <f>A47</f>
        <v>成交单价（元/平方米）</v>
      </c>
      <c r="Q47" s="3611"/>
      <c r="R47" s="3607">
        <f>E47</f>
        <v>0</v>
      </c>
      <c r="S47" s="3607"/>
      <c r="T47" s="3607">
        <f>G47</f>
        <v>0</v>
      </c>
      <c r="U47" s="3607"/>
      <c r="V47" s="3607">
        <f>I47</f>
        <v>0</v>
      </c>
      <c r="W47" s="3607"/>
      <c r="X47" s="1760"/>
      <c r="Y47" s="2042"/>
      <c r="Z47" s="1760"/>
      <c r="AA47" s="1760"/>
      <c r="AB47" s="1760"/>
      <c r="AC47" s="1760"/>
    </row>
    <row r="48" spans="1:29" ht="15.75" thickBot="1">
      <c r="A48" s="1762" t="s">
        <v>2311</v>
      </c>
      <c r="B48" s="1763"/>
      <c r="C48" s="1764" t="e">
        <f>R49</f>
        <v>#DIV/0!</v>
      </c>
      <c r="D48" s="1765" t="s">
        <v>2683</v>
      </c>
      <c r="E48" s="1766" t="e">
        <f>R48</f>
        <v>#DIV/0!</v>
      </c>
      <c r="F48" s="1767"/>
      <c r="G48" s="1764" t="e">
        <f>T48</f>
        <v>#DIV/0!</v>
      </c>
      <c r="H48" s="1767"/>
      <c r="I48" s="1766" t="e">
        <f>V48</f>
        <v>#DIV/0!</v>
      </c>
      <c r="J48" s="1767"/>
      <c r="K48" s="2479">
        <f>F48+H48+J48</f>
        <v>0</v>
      </c>
      <c r="L48" s="2970"/>
      <c r="N48" s="2965"/>
      <c r="P48" s="3611" t="str">
        <f>A48</f>
        <v>比较价值（元/平方米）</v>
      </c>
      <c r="Q48" s="3611"/>
      <c r="R48" s="3607" t="e">
        <f>IF(E1="售价",ROUND(PRODUCT(R47,AA7:AA46),0),ROUND(PRODUCT(R47,AA7:AA46),1))</f>
        <v>#DIV/0!</v>
      </c>
      <c r="S48" s="3607"/>
      <c r="T48" s="3607" t="e">
        <f>IF(E1="售价",ROUND(PRODUCT(T47,AB7:AB46),0),ROUND(PRODUCT(T47,AB7:AB46),1))</f>
        <v>#DIV/0!</v>
      </c>
      <c r="U48" s="3607"/>
      <c r="V48" s="3607" t="e">
        <f>IF(E1="售价",ROUND(PRODUCT(V47,AC7:AC46),0),ROUND(PRODUCT(V47,AC7:AC46),1))</f>
        <v>#DIV/0!</v>
      </c>
      <c r="W48" s="3607"/>
      <c r="X48" s="1760"/>
      <c r="Y48" s="1760"/>
      <c r="Z48" s="1760"/>
      <c r="AA48" s="1760"/>
      <c r="AB48" s="1760"/>
      <c r="AC48" s="1760"/>
    </row>
    <row r="49" spans="1:29" ht="15.75" thickBot="1">
      <c r="A49" s="1768" t="s">
        <v>2312</v>
      </c>
      <c r="B49" s="1769"/>
      <c r="C49" s="1771" t="e">
        <f>R49</f>
        <v>#DIV/0!</v>
      </c>
      <c r="D49" s="1771"/>
      <c r="E49" s="1771"/>
      <c r="F49" s="1771"/>
      <c r="G49" s="1771"/>
      <c r="H49" s="1771"/>
      <c r="I49" s="1771"/>
      <c r="J49" s="1771"/>
      <c r="K49" s="1987"/>
      <c r="L49" s="2970"/>
      <c r="N49" s="2965"/>
      <c r="P49" s="3608" t="str">
        <f>A49</f>
        <v>估价对象XX用房的比较价值（楼面单价，元/平方米）</v>
      </c>
      <c r="Q49" s="3609"/>
      <c r="R49" s="3610" t="e">
        <f>IF(E1="售价",ROUND(IF(D48="简单平均",AVERAGE(R48:V48),R48*F48+T48*H48+V48*J48),0),ROUND(IF(D48="简单平均",AVERAGE(R48:V48),R48*F48+T48*H48+V48*J48),1))</f>
        <v>#DIV/0!</v>
      </c>
      <c r="S49" s="3610"/>
      <c r="T49" s="3610"/>
      <c r="U49" s="3610"/>
      <c r="V49" s="3610"/>
      <c r="W49" s="3610"/>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2313</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2314</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2315</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2316</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2198</v>
      </c>
      <c r="B58" s="1792"/>
      <c r="C58" s="1793" t="str">
        <f>YEAR(C7)&amp;"-"&amp;MONTH(C7)</f>
        <v>2022-3</v>
      </c>
      <c r="D58" s="1794">
        <f>EDATE(C58,-1)</f>
        <v>44593</v>
      </c>
      <c r="E58" s="1794">
        <f t="shared" ref="E58:O58" si="16">EDATE(D58,-1)</f>
        <v>44562</v>
      </c>
      <c r="F58" s="1794">
        <f t="shared" si="16"/>
        <v>44531</v>
      </c>
      <c r="G58" s="1794">
        <f t="shared" si="16"/>
        <v>44501</v>
      </c>
      <c r="H58" s="1794">
        <f t="shared" si="16"/>
        <v>44470</v>
      </c>
      <c r="I58" s="1794">
        <f t="shared" si="16"/>
        <v>44440</v>
      </c>
      <c r="J58" s="1794">
        <f t="shared" si="16"/>
        <v>44409</v>
      </c>
      <c r="K58" s="1794">
        <f t="shared" si="16"/>
        <v>44378</v>
      </c>
      <c r="L58" s="1794">
        <f t="shared" si="16"/>
        <v>44348</v>
      </c>
      <c r="M58" s="1794">
        <f t="shared" si="16"/>
        <v>44317</v>
      </c>
      <c r="N58" s="1794">
        <f t="shared" si="16"/>
        <v>44287</v>
      </c>
      <c r="O58" s="1794">
        <f t="shared" si="16"/>
        <v>44256</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2236</v>
      </c>
      <c r="B60" s="1804"/>
      <c r="C60" s="1805"/>
      <c r="D60" s="1806"/>
      <c r="E60" s="1806"/>
      <c r="F60" s="1806"/>
      <c r="G60" s="1806"/>
      <c r="H60" s="1806"/>
      <c r="I60" s="1806"/>
      <c r="J60" s="1806"/>
      <c r="K60" s="1806"/>
      <c r="L60" s="1806"/>
      <c r="M60" s="1807"/>
      <c r="N60" s="1806"/>
      <c r="O60" s="1807"/>
      <c r="P60" s="1802"/>
      <c r="Q60" s="1790"/>
    </row>
    <row r="61" spans="1:29" s="1653" customFormat="1" ht="15">
      <c r="A61" s="1808" t="s">
        <v>2200</v>
      </c>
      <c r="B61" s="1798"/>
      <c r="C61" s="1809" t="s">
        <v>2201</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2239</v>
      </c>
      <c r="B63" s="1816" t="s">
        <v>2204</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2207</v>
      </c>
      <c r="C65" s="1828" t="s">
        <v>2240</v>
      </c>
      <c r="D65" s="1828" t="s">
        <v>2241</v>
      </c>
      <c r="E65" s="1828" t="s">
        <v>2242</v>
      </c>
      <c r="F65" s="1828" t="s">
        <v>2243</v>
      </c>
      <c r="G65" s="1828" t="s">
        <v>2244</v>
      </c>
      <c r="H65" s="1828" t="s">
        <v>2245</v>
      </c>
      <c r="I65" s="1828" t="s">
        <v>2246</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2208</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2209</v>
      </c>
      <c r="B76" s="1816" t="s">
        <v>2247</v>
      </c>
      <c r="C76" s="1854" t="s">
        <v>2248</v>
      </c>
      <c r="D76" s="1854" t="s">
        <v>2249</v>
      </c>
      <c r="E76" s="1854" t="s">
        <v>2250</v>
      </c>
      <c r="F76" s="1854" t="s">
        <v>2251</v>
      </c>
      <c r="G76" s="1854" t="s">
        <v>2252</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2253</v>
      </c>
      <c r="C78" s="579" t="s">
        <v>2248</v>
      </c>
      <c r="D78" s="579" t="s">
        <v>2249</v>
      </c>
      <c r="E78" s="579" t="s">
        <v>2250</v>
      </c>
      <c r="F78" s="579" t="s">
        <v>2251</v>
      </c>
      <c r="G78" s="579" t="s">
        <v>2252</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2254</v>
      </c>
      <c r="C80" s="579" t="s">
        <v>2248</v>
      </c>
      <c r="D80" s="579" t="s">
        <v>2249</v>
      </c>
      <c r="E80" s="579" t="s">
        <v>2250</v>
      </c>
      <c r="F80" s="579" t="s">
        <v>2251</v>
      </c>
      <c r="G80" s="579" t="s">
        <v>2252</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2297</v>
      </c>
      <c r="C82" s="1828" t="s">
        <v>2255</v>
      </c>
      <c r="D82" s="1828" t="s">
        <v>2256</v>
      </c>
      <c r="E82" s="1828" t="s">
        <v>2257</v>
      </c>
      <c r="F82" s="1828" t="s">
        <v>2258</v>
      </c>
      <c r="G82" s="1828" t="s">
        <v>2259</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2260</v>
      </c>
      <c r="C84" s="579" t="s">
        <v>2248</v>
      </c>
      <c r="D84" s="579" t="s">
        <v>2249</v>
      </c>
      <c r="E84" s="579" t="s">
        <v>2250</v>
      </c>
      <c r="F84" s="579" t="s">
        <v>2251</v>
      </c>
      <c r="G84" s="579" t="s">
        <v>2252</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2317</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2214</v>
      </c>
      <c r="B100" s="1816" t="s">
        <v>2318</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2265</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2267</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2270</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2319</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2320</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2321</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2322</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2272</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2273</v>
      </c>
      <c r="C124" s="579" t="s">
        <v>2248</v>
      </c>
      <c r="D124" s="579" t="s">
        <v>2249</v>
      </c>
      <c r="E124" s="579" t="s">
        <v>2250</v>
      </c>
      <c r="F124" s="579" t="s">
        <v>2251</v>
      </c>
      <c r="G124" s="579" t="s">
        <v>2252</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2181</v>
      </c>
      <c r="B1" s="1606" t="s">
        <v>2323</v>
      </c>
      <c r="C1" s="1607"/>
      <c r="D1" s="1606"/>
      <c r="E1" s="1609"/>
      <c r="F1" s="1610" t="s">
        <v>2183</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t="e">
        <f ca="1">IF(D2="——",IF(C2="元",ROUND(C50*D3,0),ROUND(C50*D3/10000,0)),IF(C2="元",ROUND(C50*D3,0),ROUND(C50*D3/10000,0))-E2)</f>
        <v>#DIV/0!</v>
      </c>
      <c r="C2" s="1619" t="str">
        <f>'数据-取费表'!B3</f>
        <v>元</v>
      </c>
      <c r="D2" s="1620"/>
      <c r="E2" s="2456" t="e">
        <f ca="1">SUMIF(INDIRECT("'"&amp;G2&amp;"'"&amp;"!A:A"),"承租人权益价值",INDIRECT("'"&amp;G2&amp;"'"&amp;"!c:c"))</f>
        <v>#REF!</v>
      </c>
      <c r="F2" s="1622" t="str">
        <f>C2</f>
        <v>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1858</v>
      </c>
      <c r="B3" s="1931" t="e">
        <f ca="1">ROUND(IF(D2="——",C50,IF(C2="万元",B2*10000/D3,B2/D3)),0)</f>
        <v>#DIV/0!</v>
      </c>
      <c r="C3" s="1628" t="s">
        <v>2184</v>
      </c>
      <c r="D3" s="1628">
        <f>IF(C1="仅计算典型户型",'数据-取费表'!E5,'数据-取费表'!B5)</f>
        <v>259.41000000000003</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2185</v>
      </c>
      <c r="B4" s="1632"/>
      <c r="C4" s="3638" t="s">
        <v>2186</v>
      </c>
      <c r="D4" s="3639"/>
      <c r="E4" s="3640" t="s">
        <v>2187</v>
      </c>
      <c r="F4" s="3641"/>
      <c r="G4" s="3638" t="s">
        <v>2188</v>
      </c>
      <c r="H4" s="3639"/>
      <c r="I4" s="3638" t="s">
        <v>2189</v>
      </c>
      <c r="J4" s="3639"/>
      <c r="K4" s="1934" t="s">
        <v>2190</v>
      </c>
      <c r="L4" s="2964"/>
      <c r="M4" s="2965"/>
      <c r="N4" s="2965"/>
      <c r="O4" s="2965"/>
      <c r="P4" s="3642" t="s">
        <v>2191</v>
      </c>
      <c r="Q4" s="3643"/>
      <c r="R4" s="3627" t="s">
        <v>2187</v>
      </c>
      <c r="S4" s="3628"/>
      <c r="T4" s="3627" t="s">
        <v>2188</v>
      </c>
      <c r="U4" s="3628"/>
      <c r="V4" s="3648" t="s">
        <v>2189</v>
      </c>
      <c r="W4" s="3648"/>
      <c r="X4" s="2043"/>
      <c r="Y4" s="3627" t="s">
        <v>2191</v>
      </c>
      <c r="Z4" s="3628"/>
      <c r="AA4" s="3635" t="s">
        <v>2187</v>
      </c>
      <c r="AB4" s="3635" t="s">
        <v>2188</v>
      </c>
      <c r="AC4" s="3635" t="s">
        <v>2189</v>
      </c>
    </row>
    <row r="5" spans="1:29" ht="15">
      <c r="A5" s="1636"/>
      <c r="B5" s="1637"/>
      <c r="C5" s="3623" t="s">
        <v>2192</v>
      </c>
      <c r="D5" s="3624"/>
      <c r="E5" s="3649" t="s">
        <v>2193</v>
      </c>
      <c r="F5" s="3650"/>
      <c r="G5" s="3623" t="s">
        <v>2194</v>
      </c>
      <c r="H5" s="3624"/>
      <c r="I5" s="3623" t="s">
        <v>2195</v>
      </c>
      <c r="J5" s="3624"/>
      <c r="K5" s="1934"/>
      <c r="L5" s="2964"/>
      <c r="M5" s="2965"/>
      <c r="N5" s="2965"/>
      <c r="O5" s="2965"/>
      <c r="P5" s="3644"/>
      <c r="Q5" s="3645"/>
      <c r="R5" s="3629"/>
      <c r="S5" s="3630"/>
      <c r="T5" s="3629"/>
      <c r="U5" s="3630"/>
      <c r="V5" s="3648"/>
      <c r="W5" s="3648"/>
      <c r="X5" s="2043"/>
      <c r="Y5" s="3629"/>
      <c r="Z5" s="3630"/>
      <c r="AA5" s="3636"/>
      <c r="AB5" s="3636"/>
      <c r="AC5" s="3636"/>
    </row>
    <row r="6" spans="1:29" ht="15.75" thickBot="1">
      <c r="A6" s="1639"/>
      <c r="B6" s="1640"/>
      <c r="C6" s="3621" t="s">
        <v>2196</v>
      </c>
      <c r="D6" s="3622"/>
      <c r="E6" s="3651" t="s">
        <v>2196</v>
      </c>
      <c r="F6" s="3652"/>
      <c r="G6" s="3621" t="s">
        <v>2196</v>
      </c>
      <c r="H6" s="3622"/>
      <c r="I6" s="3621" t="s">
        <v>2196</v>
      </c>
      <c r="J6" s="3622"/>
      <c r="K6" s="1934" t="s">
        <v>2197</v>
      </c>
      <c r="L6" s="2964"/>
      <c r="M6" s="2965"/>
      <c r="N6" s="2965"/>
      <c r="O6" s="2965"/>
      <c r="P6" s="3646"/>
      <c r="Q6" s="3647"/>
      <c r="R6" s="3629"/>
      <c r="S6" s="3630"/>
      <c r="T6" s="3631"/>
      <c r="U6" s="3632"/>
      <c r="V6" s="3648"/>
      <c r="W6" s="3648"/>
      <c r="X6" s="2043"/>
      <c r="Y6" s="3631"/>
      <c r="Z6" s="3632"/>
      <c r="AA6" s="3637"/>
      <c r="AB6" s="3637"/>
      <c r="AC6" s="3637"/>
    </row>
    <row r="7" spans="1:29" s="1653" customFormat="1" ht="15.75" thickBot="1">
      <c r="A7" s="1641" t="s">
        <v>2198</v>
      </c>
      <c r="B7" s="1642"/>
      <c r="C7" s="1643">
        <f>'数据-取费表'!B2</f>
        <v>44636</v>
      </c>
      <c r="D7" s="1644">
        <v>100</v>
      </c>
      <c r="E7" s="1645"/>
      <c r="F7" s="1646">
        <f>SUMIF(59:59,YEAR(E7)&amp;"-"&amp;MONTH(E7),60:60)</f>
        <v>0</v>
      </c>
      <c r="G7" s="1935"/>
      <c r="H7" s="1644">
        <f>SUMIF(59:59,YEAR(G7)&amp;"-"&amp;MONTH(G7),60:60)</f>
        <v>0</v>
      </c>
      <c r="I7" s="1935"/>
      <c r="J7" s="1644">
        <f>SUMIF(59:59,YEAR(I7)&amp;"-"&amp;MONTH(I7),60:60)</f>
        <v>0</v>
      </c>
      <c r="K7" s="1936"/>
      <c r="L7" s="2964"/>
      <c r="M7" s="2937"/>
      <c r="N7" s="2937"/>
      <c r="O7" s="2937"/>
      <c r="P7" s="3625" t="s">
        <v>2199</v>
      </c>
      <c r="Q7" s="3633"/>
      <c r="R7" s="1649" t="s">
        <v>25</v>
      </c>
      <c r="S7" s="1650">
        <f t="shared" ref="S7:S15" si="0">F7</f>
        <v>0</v>
      </c>
      <c r="T7" s="1649" t="s">
        <v>25</v>
      </c>
      <c r="U7" s="1650">
        <f t="shared" ref="U7:U15" si="1">H7</f>
        <v>0</v>
      </c>
      <c r="V7" s="1649" t="s">
        <v>25</v>
      </c>
      <c r="W7" s="1650">
        <f t="shared" ref="W7:W15" si="2">J7</f>
        <v>0</v>
      </c>
      <c r="X7" s="1651"/>
      <c r="Y7" s="3625" t="s">
        <v>2199</v>
      </c>
      <c r="Z7" s="3626"/>
      <c r="AA7" s="1652" t="e">
        <f>D7/F7</f>
        <v>#DIV/0!</v>
      </c>
      <c r="AB7" s="1652" t="e">
        <f>D7/H7</f>
        <v>#DIV/0!</v>
      </c>
      <c r="AC7" s="1652" t="e">
        <f>D7/J7</f>
        <v>#DIV/0!</v>
      </c>
    </row>
    <row r="8" spans="1:29" s="1653" customFormat="1" ht="15.75" thickBot="1">
      <c r="A8" s="1641" t="s">
        <v>2200</v>
      </c>
      <c r="B8" s="1642"/>
      <c r="C8" s="1654" t="s">
        <v>2201</v>
      </c>
      <c r="D8" s="1644">
        <v>100</v>
      </c>
      <c r="E8" s="1654"/>
      <c r="F8" s="1646">
        <f>SUMIF(62:62,E8,63:63)-SUMIF(62:62,C8,63:63)+100</f>
        <v>0</v>
      </c>
      <c r="G8" s="1654"/>
      <c r="H8" s="1644">
        <f>SUMIF(62:62,G8,63:63)-SUMIF(62:62,C8,63:63)+100</f>
        <v>0</v>
      </c>
      <c r="I8" s="1654"/>
      <c r="J8" s="1644">
        <f>SUMIF(62:62,I8,63:63)-SUMIF(62:62,C8,63:63)+100</f>
        <v>0</v>
      </c>
      <c r="K8" s="1936"/>
      <c r="L8" s="2964"/>
      <c r="M8" s="2937"/>
      <c r="N8" s="2937"/>
      <c r="O8" s="2937"/>
      <c r="P8" s="3625" t="s">
        <v>2202</v>
      </c>
      <c r="Q8" s="3626"/>
      <c r="R8" s="1649" t="s">
        <v>25</v>
      </c>
      <c r="S8" s="1650">
        <f t="shared" si="0"/>
        <v>0</v>
      </c>
      <c r="T8" s="1649" t="s">
        <v>25</v>
      </c>
      <c r="U8" s="1650">
        <f t="shared" si="1"/>
        <v>0</v>
      </c>
      <c r="V8" s="1649" t="s">
        <v>25</v>
      </c>
      <c r="W8" s="1650">
        <f t="shared" si="2"/>
        <v>0</v>
      </c>
      <c r="X8" s="1651"/>
      <c r="Y8" s="3625" t="s">
        <v>2202</v>
      </c>
      <c r="Z8" s="3626"/>
      <c r="AA8" s="1652" t="e">
        <f t="shared" ref="AA8:AA47" si="3">D8/F8</f>
        <v>#DIV/0!</v>
      </c>
      <c r="AB8" s="1652" t="e">
        <f t="shared" ref="AB8:AB47" si="4">D8/H8</f>
        <v>#DIV/0!</v>
      </c>
      <c r="AC8" s="1652" t="e">
        <f t="shared" ref="AC8:AC47" si="5">D8/J8</f>
        <v>#DIV/0!</v>
      </c>
    </row>
    <row r="9" spans="1:29" s="1653" customFormat="1">
      <c r="A9" s="2035" t="s">
        <v>2203</v>
      </c>
      <c r="B9" s="1656" t="s">
        <v>2204</v>
      </c>
      <c r="C9" s="1657"/>
      <c r="D9" s="1658">
        <v>100</v>
      </c>
      <c r="E9" s="1661"/>
      <c r="F9" s="1658">
        <f>SUMIF(64:64,E9,65:65)-SUMIF(64:64,C9,65:65)+100</f>
        <v>100</v>
      </c>
      <c r="G9" s="1659"/>
      <c r="H9" s="1658">
        <f>SUMIF(64:64,G9,65:65)-SUMIF(64:64,C9,65:65)+100</f>
        <v>100</v>
      </c>
      <c r="I9" s="1659"/>
      <c r="J9" s="1658">
        <f>SUMIF(64:64,I9,65:65)-SUMIF(64:64,C9,65:65)+100</f>
        <v>100</v>
      </c>
      <c r="K9" s="1936"/>
      <c r="L9" s="2964"/>
      <c r="M9" s="2937"/>
      <c r="N9" s="2937"/>
      <c r="O9" s="2937"/>
      <c r="P9" s="3611" t="s">
        <v>2205</v>
      </c>
      <c r="Q9" s="2882" t="str">
        <f t="shared" ref="Q9:Q15" si="6">B9</f>
        <v>用途</v>
      </c>
      <c r="R9" s="1649" t="s">
        <v>25</v>
      </c>
      <c r="S9" s="1650">
        <f t="shared" si="0"/>
        <v>100</v>
      </c>
      <c r="T9" s="1649" t="s">
        <v>25</v>
      </c>
      <c r="U9" s="1650">
        <f t="shared" si="1"/>
        <v>100</v>
      </c>
      <c r="V9" s="1649" t="s">
        <v>25</v>
      </c>
      <c r="W9" s="1650">
        <f t="shared" si="2"/>
        <v>100</v>
      </c>
      <c r="X9" s="1651"/>
      <c r="Y9" s="3446" t="s">
        <v>2206</v>
      </c>
      <c r="Z9" s="1662" t="str">
        <f t="shared" ref="Z9:Z15" si="7">Q9</f>
        <v>用途</v>
      </c>
      <c r="AA9" s="1652">
        <f t="shared" si="3"/>
        <v>1</v>
      </c>
      <c r="AB9" s="1652">
        <f t="shared" si="4"/>
        <v>1</v>
      </c>
      <c r="AC9" s="1652">
        <f t="shared" si="5"/>
        <v>1</v>
      </c>
    </row>
    <row r="10" spans="1:29" s="1670" customFormat="1" ht="27">
      <c r="A10" s="1663"/>
      <c r="B10" s="1664" t="s">
        <v>2207</v>
      </c>
      <c r="C10" s="1665"/>
      <c r="D10" s="1666">
        <v>100</v>
      </c>
      <c r="E10" s="1665"/>
      <c r="F10" s="1666">
        <f>SUMIF(66:66,E10,67:67)-SUMIF(66:66,C10,67:67)+100</f>
        <v>100</v>
      </c>
      <c r="G10" s="1667"/>
      <c r="H10" s="1666">
        <f>SUMIF(66:66,G10,67:67)-SUMIF(66:66,C10,67:67)+100</f>
        <v>100</v>
      </c>
      <c r="I10" s="1665"/>
      <c r="J10" s="1666">
        <f>SUMIF(66:66,I10,67:67)-SUMIF(66:66,C10,67:67)+100</f>
        <v>100</v>
      </c>
      <c r="K10" s="1961"/>
      <c r="L10" s="2966"/>
      <c r="M10" s="2967"/>
      <c r="N10" s="2967"/>
      <c r="O10" s="2967"/>
      <c r="P10" s="3611"/>
      <c r="Q10" s="2882" t="str">
        <f t="shared" si="6"/>
        <v>土地使用年限（年）</v>
      </c>
      <c r="R10" s="1649" t="s">
        <v>25</v>
      </c>
      <c r="S10" s="1650">
        <f t="shared" si="0"/>
        <v>100</v>
      </c>
      <c r="T10" s="1649" t="s">
        <v>25</v>
      </c>
      <c r="U10" s="1650">
        <f t="shared" si="1"/>
        <v>100</v>
      </c>
      <c r="V10" s="1649" t="s">
        <v>25</v>
      </c>
      <c r="W10" s="1650">
        <f t="shared" si="2"/>
        <v>100</v>
      </c>
      <c r="X10" s="1651"/>
      <c r="Y10" s="3446"/>
      <c r="Z10" s="1662" t="str">
        <f t="shared" si="7"/>
        <v>土地使用年限（年）</v>
      </c>
      <c r="AA10" s="1652">
        <f t="shared" si="3"/>
        <v>1</v>
      </c>
      <c r="AB10" s="1652">
        <f t="shared" si="4"/>
        <v>1</v>
      </c>
      <c r="AC10" s="1652">
        <f t="shared" si="5"/>
        <v>1</v>
      </c>
    </row>
    <row r="11" spans="1:29" ht="15">
      <c r="A11" s="1671"/>
      <c r="B11" s="1664" t="s">
        <v>2208</v>
      </c>
      <c r="C11" s="1672"/>
      <c r="D11" s="1666">
        <v>100</v>
      </c>
      <c r="E11" s="1672"/>
      <c r="F11" s="1666" t="e">
        <f>LOOKUP(E11,69:69,70:70)-LOOKUP(C11,69:69,70:70)+100</f>
        <v>#N/A</v>
      </c>
      <c r="G11" s="1673"/>
      <c r="H11" s="1666" t="e">
        <f>LOOKUP(G11,69:69,70:70)-LOOKUP(C11,69:69,70:70)+100</f>
        <v>#N/A</v>
      </c>
      <c r="I11" s="1672"/>
      <c r="J11" s="1666" t="e">
        <f>LOOKUP(I11,69:69,70:70)-LOOKUP(C11,69:69,70:70)+100</f>
        <v>#N/A</v>
      </c>
      <c r="K11" s="1961"/>
      <c r="L11" s="2968"/>
      <c r="M11" s="2965"/>
      <c r="N11" s="2965"/>
      <c r="O11" s="2965"/>
      <c r="P11" s="3611"/>
      <c r="Q11" s="2882" t="str">
        <f t="shared" si="6"/>
        <v>容积率</v>
      </c>
      <c r="R11" s="1649" t="s">
        <v>25</v>
      </c>
      <c r="S11" s="1650" t="e">
        <f t="shared" si="0"/>
        <v>#N/A</v>
      </c>
      <c r="T11" s="1649" t="s">
        <v>25</v>
      </c>
      <c r="U11" s="1650" t="e">
        <f t="shared" si="1"/>
        <v>#N/A</v>
      </c>
      <c r="V11" s="1649" t="s">
        <v>25</v>
      </c>
      <c r="W11" s="1650" t="e">
        <f t="shared" si="2"/>
        <v>#N/A</v>
      </c>
      <c r="X11" s="1651"/>
      <c r="Y11" s="3446"/>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11"/>
      <c r="Q12" s="2882">
        <f t="shared" si="6"/>
        <v>111</v>
      </c>
      <c r="R12" s="1649" t="s">
        <v>25</v>
      </c>
      <c r="S12" s="1650">
        <f t="shared" si="0"/>
        <v>100</v>
      </c>
      <c r="T12" s="1649" t="s">
        <v>25</v>
      </c>
      <c r="U12" s="1650">
        <f t="shared" si="1"/>
        <v>100</v>
      </c>
      <c r="V12" s="1649" t="s">
        <v>25</v>
      </c>
      <c r="W12" s="1650">
        <f t="shared" si="2"/>
        <v>100</v>
      </c>
      <c r="X12" s="1651"/>
      <c r="Y12" s="3446"/>
      <c r="Z12" s="1662">
        <f t="shared" si="7"/>
        <v>111</v>
      </c>
      <c r="AA12" s="1652">
        <f>D12/F12</f>
        <v>1</v>
      </c>
      <c r="AB12" s="1652">
        <f>D12/H12</f>
        <v>1</v>
      </c>
      <c r="AC12" s="1652">
        <f>D12/J12</f>
        <v>1</v>
      </c>
    </row>
    <row r="13" spans="1:29" ht="15">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11"/>
      <c r="Q13" s="2882">
        <f t="shared" si="6"/>
        <v>111</v>
      </c>
      <c r="R13" s="1649" t="s">
        <v>25</v>
      </c>
      <c r="S13" s="1650">
        <f t="shared" si="0"/>
        <v>100</v>
      </c>
      <c r="T13" s="1649" t="s">
        <v>25</v>
      </c>
      <c r="U13" s="1650">
        <f t="shared" si="1"/>
        <v>100</v>
      </c>
      <c r="V13" s="1649" t="s">
        <v>25</v>
      </c>
      <c r="W13" s="1650">
        <f t="shared" si="2"/>
        <v>100</v>
      </c>
      <c r="X13" s="1651"/>
      <c r="Y13" s="3446"/>
      <c r="Z13" s="1662">
        <f t="shared" si="7"/>
        <v>111</v>
      </c>
      <c r="AA13" s="1652">
        <f t="shared" si="3"/>
        <v>1</v>
      </c>
      <c r="AB13" s="1652">
        <f t="shared" si="4"/>
        <v>1</v>
      </c>
      <c r="AC13" s="1652">
        <f t="shared" si="5"/>
        <v>1</v>
      </c>
    </row>
    <row r="14" spans="1:29" ht="15.75"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11"/>
      <c r="Q14" s="2882">
        <f t="shared" si="6"/>
        <v>111</v>
      </c>
      <c r="R14" s="1649" t="s">
        <v>25</v>
      </c>
      <c r="S14" s="1650">
        <f t="shared" si="0"/>
        <v>100</v>
      </c>
      <c r="T14" s="1649" t="s">
        <v>25</v>
      </c>
      <c r="U14" s="1650">
        <f t="shared" si="1"/>
        <v>100</v>
      </c>
      <c r="V14" s="1649" t="s">
        <v>25</v>
      </c>
      <c r="W14" s="1650">
        <f t="shared" si="2"/>
        <v>100</v>
      </c>
      <c r="X14" s="1651"/>
      <c r="Y14" s="3446"/>
      <c r="Z14" s="1662">
        <f t="shared" si="7"/>
        <v>111</v>
      </c>
      <c r="AA14" s="1652">
        <f t="shared" si="3"/>
        <v>1</v>
      </c>
      <c r="AB14" s="1652">
        <f t="shared" si="4"/>
        <v>1</v>
      </c>
      <c r="AC14" s="1652">
        <f t="shared" si="5"/>
        <v>1</v>
      </c>
    </row>
    <row r="15" spans="1:29" ht="71.25">
      <c r="A15" s="1686" t="s">
        <v>2209</v>
      </c>
      <c r="B15" s="2461" t="s">
        <v>2324</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14" t="s">
        <v>2210</v>
      </c>
      <c r="Q15" s="2883" t="str">
        <f t="shared" si="6"/>
        <v>办公集聚程度</v>
      </c>
      <c r="R15" s="1694" t="s">
        <v>25</v>
      </c>
      <c r="S15" s="1695">
        <f t="shared" si="0"/>
        <v>100</v>
      </c>
      <c r="T15" s="1694" t="s">
        <v>25</v>
      </c>
      <c r="U15" s="1695">
        <f t="shared" si="1"/>
        <v>100</v>
      </c>
      <c r="V15" s="1694" t="s">
        <v>25</v>
      </c>
      <c r="W15" s="1695">
        <f t="shared" si="2"/>
        <v>100</v>
      </c>
      <c r="X15" s="2043"/>
      <c r="Y15" s="3614" t="s">
        <v>2210</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15"/>
      <c r="Q16" s="2883"/>
      <c r="R16" s="1694"/>
      <c r="S16" s="1695"/>
      <c r="T16" s="1694"/>
      <c r="U16" s="1695"/>
      <c r="V16" s="1694"/>
      <c r="W16" s="1695"/>
      <c r="X16" s="2043"/>
      <c r="Y16" s="3615"/>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15"/>
      <c r="Q17" s="2883" t="str">
        <f>B17</f>
        <v>交通便捷度</v>
      </c>
      <c r="R17" s="1694" t="s">
        <v>25</v>
      </c>
      <c r="S17" s="1695">
        <f>F17</f>
        <v>100</v>
      </c>
      <c r="T17" s="1694" t="s">
        <v>25</v>
      </c>
      <c r="U17" s="1695">
        <f>H17</f>
        <v>100</v>
      </c>
      <c r="V17" s="1694" t="s">
        <v>25</v>
      </c>
      <c r="W17" s="1695">
        <f>J17</f>
        <v>100</v>
      </c>
      <c r="X17" s="2043"/>
      <c r="Y17" s="3615"/>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15"/>
      <c r="Q18" s="2883"/>
      <c r="R18" s="1694"/>
      <c r="S18" s="1695"/>
      <c r="T18" s="1694"/>
      <c r="U18" s="1695"/>
      <c r="V18" s="1694"/>
      <c r="W18" s="1695"/>
      <c r="X18" s="2043"/>
      <c r="Y18" s="3615"/>
      <c r="Z18" s="2047"/>
      <c r="AA18" s="2038">
        <v>1</v>
      </c>
      <c r="AB18" s="2038">
        <v>1</v>
      </c>
      <c r="AC18" s="2038">
        <v>1</v>
      </c>
    </row>
    <row r="19" spans="1:29" ht="42.75">
      <c r="A19" s="1671"/>
      <c r="B19" s="2463" t="s">
        <v>2325</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15"/>
      <c r="Q19" s="2883" t="str">
        <f>B19</f>
        <v>公共配套设施</v>
      </c>
      <c r="R19" s="1694" t="s">
        <v>25</v>
      </c>
      <c r="S19" s="1695">
        <f>F19</f>
        <v>100</v>
      </c>
      <c r="T19" s="1694" t="s">
        <v>25</v>
      </c>
      <c r="U19" s="1695">
        <f>H19</f>
        <v>100</v>
      </c>
      <c r="V19" s="1694" t="s">
        <v>25</v>
      </c>
      <c r="W19" s="1695">
        <f>J19</f>
        <v>100</v>
      </c>
      <c r="X19" s="2043"/>
      <c r="Y19" s="3615"/>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15"/>
      <c r="Q20" s="2883"/>
      <c r="R20" s="1694"/>
      <c r="S20" s="1695"/>
      <c r="T20" s="1694"/>
      <c r="U20" s="1695"/>
      <c r="V20" s="1694"/>
      <c r="W20" s="1695"/>
      <c r="X20" s="2043"/>
      <c r="Y20" s="3615"/>
      <c r="Z20" s="2047"/>
      <c r="AA20" s="2038">
        <v>1</v>
      </c>
      <c r="AB20" s="2038">
        <v>1</v>
      </c>
      <c r="AC20" s="2038">
        <v>1</v>
      </c>
    </row>
    <row r="21" spans="1:29" ht="28.5">
      <c r="A21" s="1671"/>
      <c r="B21" s="2465" t="s">
        <v>2326</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15"/>
      <c r="Q21" s="2883" t="str">
        <f>B21</f>
        <v>基础设施水平</v>
      </c>
      <c r="R21" s="1694" t="s">
        <v>25</v>
      </c>
      <c r="S21" s="1695">
        <f>F21</f>
        <v>100</v>
      </c>
      <c r="T21" s="1694" t="s">
        <v>25</v>
      </c>
      <c r="U21" s="1695">
        <f>H21</f>
        <v>100</v>
      </c>
      <c r="V21" s="1694" t="s">
        <v>25</v>
      </c>
      <c r="W21" s="1695">
        <f>J21</f>
        <v>100</v>
      </c>
      <c r="X21" s="2043"/>
      <c r="Y21" s="3615"/>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15"/>
      <c r="Q22" s="2883"/>
      <c r="R22" s="1694"/>
      <c r="S22" s="1695"/>
      <c r="T22" s="1694"/>
      <c r="U22" s="1695"/>
      <c r="V22" s="1694"/>
      <c r="W22" s="1695"/>
      <c r="X22" s="2043"/>
      <c r="Y22" s="3615"/>
      <c r="Z22" s="2047"/>
      <c r="AA22" s="2038">
        <v>1</v>
      </c>
      <c r="AB22" s="2038">
        <v>1</v>
      </c>
      <c r="AC22" s="2038">
        <v>1</v>
      </c>
    </row>
    <row r="23" spans="1:29" ht="57">
      <c r="A23" s="1671"/>
      <c r="B23" s="2463" t="s">
        <v>2327</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15"/>
      <c r="Q23" s="2883" t="str">
        <f>B23</f>
        <v>环境质量</v>
      </c>
      <c r="R23" s="1694" t="s">
        <v>25</v>
      </c>
      <c r="S23" s="1695">
        <f>F23</f>
        <v>100</v>
      </c>
      <c r="T23" s="1694" t="s">
        <v>25</v>
      </c>
      <c r="U23" s="1695">
        <f>H23</f>
        <v>100</v>
      </c>
      <c r="V23" s="1694" t="s">
        <v>25</v>
      </c>
      <c r="W23" s="1695">
        <f>J23</f>
        <v>100</v>
      </c>
      <c r="X23" s="2043"/>
      <c r="Y23" s="3615"/>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15"/>
      <c r="Q24" s="2883"/>
      <c r="R24" s="1694"/>
      <c r="S24" s="1695"/>
      <c r="T24" s="1694"/>
      <c r="U24" s="1695"/>
      <c r="V24" s="1694"/>
      <c r="W24" s="1695"/>
      <c r="X24" s="2043"/>
      <c r="Y24" s="3615"/>
      <c r="Z24" s="2047"/>
      <c r="AA24" s="2038">
        <v>1</v>
      </c>
      <c r="AB24" s="2038">
        <v>1</v>
      </c>
      <c r="AC24" s="2038">
        <v>1</v>
      </c>
    </row>
    <row r="25" spans="1:29" ht="27">
      <c r="A25" s="1636"/>
      <c r="B25" s="2463" t="s">
        <v>2328</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15"/>
      <c r="Q25" s="2883" t="str">
        <f>B25</f>
        <v>毗邻道路的类型与等级</v>
      </c>
      <c r="R25" s="1694" t="s">
        <v>25</v>
      </c>
      <c r="S25" s="1695">
        <f>F25</f>
        <v>100</v>
      </c>
      <c r="T25" s="1694" t="s">
        <v>25</v>
      </c>
      <c r="U25" s="1695">
        <f>H25</f>
        <v>100</v>
      </c>
      <c r="V25" s="1694" t="s">
        <v>25</v>
      </c>
      <c r="W25" s="1695">
        <f>J25</f>
        <v>100</v>
      </c>
      <c r="X25" s="2043"/>
      <c r="Y25" s="3615"/>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15"/>
      <c r="Q26" s="2883"/>
      <c r="R26" s="1694"/>
      <c r="S26" s="1695"/>
      <c r="T26" s="1694"/>
      <c r="U26" s="1695"/>
      <c r="V26" s="1694"/>
      <c r="W26" s="1695"/>
      <c r="X26" s="2043"/>
      <c r="Y26" s="3615"/>
      <c r="Z26" s="2047"/>
      <c r="AA26" s="2038">
        <v>1</v>
      </c>
      <c r="AB26" s="2038">
        <v>1</v>
      </c>
      <c r="AC26" s="2038">
        <v>1</v>
      </c>
    </row>
    <row r="27" spans="1:29" ht="15">
      <c r="A27" s="1671"/>
      <c r="B27" s="2464" t="s">
        <v>2301</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15"/>
      <c r="Q27" s="2883" t="str">
        <f t="shared" ref="Q27:Q47" si="11">B27</f>
        <v>楼层</v>
      </c>
      <c r="R27" s="1694" t="s">
        <v>25</v>
      </c>
      <c r="S27" s="1695">
        <f>F27</f>
        <v>100</v>
      </c>
      <c r="T27" s="1694" t="s">
        <v>25</v>
      </c>
      <c r="U27" s="1695">
        <f>H27</f>
        <v>100</v>
      </c>
      <c r="V27" s="1694" t="s">
        <v>25</v>
      </c>
      <c r="W27" s="1695">
        <f>J27</f>
        <v>100</v>
      </c>
      <c r="X27" s="2043"/>
      <c r="Y27" s="3615"/>
      <c r="Z27" s="2047" t="str">
        <f>Q27</f>
        <v>楼层</v>
      </c>
      <c r="AA27" s="2038">
        <f t="shared" si="3"/>
        <v>1</v>
      </c>
      <c r="AB27" s="2038">
        <f t="shared" si="4"/>
        <v>1</v>
      </c>
      <c r="AC27" s="2038">
        <f t="shared" si="5"/>
        <v>1</v>
      </c>
    </row>
    <row r="28" spans="1:29" s="1653" customFormat="1" ht="15">
      <c r="A28" s="1674"/>
      <c r="B28" s="2463" t="s">
        <v>2329</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15"/>
      <c r="Q28" s="2882" t="str">
        <f t="shared" si="11"/>
        <v>朝向</v>
      </c>
      <c r="R28" s="1649" t="s">
        <v>25</v>
      </c>
      <c r="S28" s="1650">
        <f>F28</f>
        <v>100</v>
      </c>
      <c r="T28" s="1649" t="s">
        <v>25</v>
      </c>
      <c r="U28" s="1650">
        <f>H28</f>
        <v>100</v>
      </c>
      <c r="V28" s="1649" t="s">
        <v>25</v>
      </c>
      <c r="W28" s="1650">
        <f>J28</f>
        <v>100</v>
      </c>
      <c r="X28" s="1651"/>
      <c r="Y28" s="3615"/>
      <c r="Z28" s="1662" t="str">
        <f>Q28</f>
        <v>朝向</v>
      </c>
      <c r="AA28" s="2038">
        <f>D28/F28</f>
        <v>1</v>
      </c>
      <c r="AB28" s="2038">
        <f>D28/H28</f>
        <v>1</v>
      </c>
      <c r="AC28" s="2038">
        <f>D28/J28</f>
        <v>1</v>
      </c>
    </row>
    <row r="29" spans="1:29" ht="15">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615"/>
      <c r="Q29" s="2883">
        <f t="shared" si="11"/>
        <v>111</v>
      </c>
      <c r="R29" s="1694" t="s">
        <v>25</v>
      </c>
      <c r="S29" s="1695">
        <f t="shared" ref="S29:S47" si="12">F29</f>
        <v>100</v>
      </c>
      <c r="T29" s="1694" t="s">
        <v>25</v>
      </c>
      <c r="U29" s="1695">
        <f t="shared" ref="U29:U47" si="13">H29</f>
        <v>100</v>
      </c>
      <c r="V29" s="1694" t="s">
        <v>25</v>
      </c>
      <c r="W29" s="1695">
        <f t="shared" ref="W29:W47" si="14">J29</f>
        <v>100</v>
      </c>
      <c r="X29" s="2043"/>
      <c r="Y29" s="3615"/>
      <c r="Z29" s="2047">
        <f t="shared" ref="Z29:Z47" si="15">Q29</f>
        <v>111</v>
      </c>
      <c r="AA29" s="2038">
        <f t="shared" si="3"/>
        <v>1</v>
      </c>
      <c r="AB29" s="2038">
        <f t="shared" si="4"/>
        <v>1</v>
      </c>
      <c r="AC29" s="2038">
        <f t="shared" si="5"/>
        <v>1</v>
      </c>
    </row>
    <row r="30" spans="1:29" ht="15">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15"/>
      <c r="Q30" s="2883">
        <f t="shared" si="11"/>
        <v>111</v>
      </c>
      <c r="R30" s="1694" t="s">
        <v>25</v>
      </c>
      <c r="S30" s="1695">
        <f t="shared" si="12"/>
        <v>100</v>
      </c>
      <c r="T30" s="1694" t="s">
        <v>25</v>
      </c>
      <c r="U30" s="1695">
        <f t="shared" si="13"/>
        <v>100</v>
      </c>
      <c r="V30" s="1694" t="s">
        <v>25</v>
      </c>
      <c r="W30" s="1695">
        <f t="shared" si="14"/>
        <v>100</v>
      </c>
      <c r="X30" s="2043"/>
      <c r="Y30" s="3615"/>
      <c r="Z30" s="2047">
        <f t="shared" si="15"/>
        <v>111</v>
      </c>
      <c r="AA30" s="2038">
        <f t="shared" si="3"/>
        <v>1</v>
      </c>
      <c r="AB30" s="2038">
        <f t="shared" si="4"/>
        <v>1</v>
      </c>
      <c r="AC30" s="2038">
        <f t="shared" si="5"/>
        <v>1</v>
      </c>
    </row>
    <row r="31" spans="1:29" ht="15">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15"/>
      <c r="Q31" s="2883">
        <f t="shared" si="11"/>
        <v>111</v>
      </c>
      <c r="R31" s="1694" t="s">
        <v>25</v>
      </c>
      <c r="S31" s="1695">
        <f t="shared" si="12"/>
        <v>100</v>
      </c>
      <c r="T31" s="1694" t="s">
        <v>25</v>
      </c>
      <c r="U31" s="1695">
        <f t="shared" si="13"/>
        <v>100</v>
      </c>
      <c r="V31" s="1694" t="s">
        <v>25</v>
      </c>
      <c r="W31" s="1695">
        <f t="shared" si="14"/>
        <v>100</v>
      </c>
      <c r="X31" s="2043"/>
      <c r="Y31" s="3615"/>
      <c r="Z31" s="2047">
        <f t="shared" si="15"/>
        <v>111</v>
      </c>
      <c r="AA31" s="2038">
        <f t="shared" si="3"/>
        <v>1</v>
      </c>
      <c r="AB31" s="2038">
        <f t="shared" si="4"/>
        <v>1</v>
      </c>
      <c r="AC31" s="2038">
        <f t="shared" si="5"/>
        <v>1</v>
      </c>
    </row>
    <row r="32" spans="1:29" ht="15.75"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15"/>
      <c r="Q32" s="2883">
        <f t="shared" si="11"/>
        <v>111</v>
      </c>
      <c r="R32" s="1694" t="s">
        <v>25</v>
      </c>
      <c r="S32" s="1695">
        <f t="shared" si="12"/>
        <v>100</v>
      </c>
      <c r="T32" s="1694" t="s">
        <v>25</v>
      </c>
      <c r="U32" s="1695">
        <f t="shared" si="13"/>
        <v>100</v>
      </c>
      <c r="V32" s="1694" t="s">
        <v>25</v>
      </c>
      <c r="W32" s="1695">
        <f t="shared" si="14"/>
        <v>100</v>
      </c>
      <c r="X32" s="2043"/>
      <c r="Y32" s="3615"/>
      <c r="Z32" s="2047">
        <f t="shared" si="15"/>
        <v>111</v>
      </c>
      <c r="AA32" s="2038">
        <f t="shared" si="3"/>
        <v>1</v>
      </c>
      <c r="AB32" s="2038">
        <f t="shared" si="4"/>
        <v>1</v>
      </c>
      <c r="AC32" s="2038">
        <f t="shared" si="5"/>
        <v>1</v>
      </c>
    </row>
    <row r="33" spans="1:29" ht="15">
      <c r="A33" s="1686" t="s">
        <v>2214</v>
      </c>
      <c r="B33" s="1656" t="s">
        <v>2330</v>
      </c>
      <c r="C33" s="2471"/>
      <c r="D33" s="1731">
        <v>100</v>
      </c>
      <c r="E33" s="2471"/>
      <c r="F33" s="1723">
        <f>SUMIF(101:101,E33,102:102)-SUMIF(101:101,C33,102:102)+100</f>
        <v>100</v>
      </c>
      <c r="G33" s="2471"/>
      <c r="H33" s="1680">
        <f>SUMIF(101:101,G33,102:102)-SUMIF(101:101,C33,102:102)+100</f>
        <v>100</v>
      </c>
      <c r="I33" s="2471"/>
      <c r="J33" s="1731">
        <f>SUMIF(101:101,I33,102:102)-SUMIF(101:101,C33,102:102)+100</f>
        <v>100</v>
      </c>
      <c r="K33" s="1961"/>
      <c r="L33" s="2969"/>
      <c r="M33" s="2965"/>
      <c r="N33" s="2965"/>
      <c r="O33" s="2965"/>
      <c r="P33" s="3653" t="s">
        <v>2216</v>
      </c>
      <c r="Q33" s="2883" t="str">
        <f t="shared" si="11"/>
        <v>建筑类型</v>
      </c>
      <c r="R33" s="1694" t="s">
        <v>25</v>
      </c>
      <c r="S33" s="1695">
        <f t="shared" si="12"/>
        <v>100</v>
      </c>
      <c r="T33" s="1694" t="s">
        <v>25</v>
      </c>
      <c r="U33" s="1695">
        <f t="shared" si="13"/>
        <v>100</v>
      </c>
      <c r="V33" s="1694" t="s">
        <v>25</v>
      </c>
      <c r="W33" s="1695">
        <f t="shared" si="14"/>
        <v>100</v>
      </c>
      <c r="X33" s="2043"/>
      <c r="Y33" s="3619" t="s">
        <v>2216</v>
      </c>
      <c r="Z33" s="2047" t="str">
        <f t="shared" si="15"/>
        <v>建筑类型</v>
      </c>
      <c r="AA33" s="2038">
        <f t="shared" si="3"/>
        <v>1</v>
      </c>
      <c r="AB33" s="2038">
        <f t="shared" si="4"/>
        <v>1</v>
      </c>
      <c r="AC33" s="2038">
        <f t="shared" si="5"/>
        <v>1</v>
      </c>
    </row>
    <row r="34" spans="1:29" s="1740" customFormat="1" ht="15">
      <c r="A34" s="1733"/>
      <c r="B34" s="1664" t="s">
        <v>2217</v>
      </c>
      <c r="C34" s="1734"/>
      <c r="D34" s="1666">
        <v>100</v>
      </c>
      <c r="E34" s="1673"/>
      <c r="F34" s="1668" t="e">
        <f>LOOKUP(E34,104:104,105:105)-LOOKUP(C34,104:104,105:105)+100</f>
        <v>#N/A</v>
      </c>
      <c r="G34" s="1672"/>
      <c r="H34" s="1666" t="e">
        <f>LOOKUP(G34,104:104,105:105)-LOOKUP(C34,104:104,105:105)+100</f>
        <v>#N/A</v>
      </c>
      <c r="I34" s="1672"/>
      <c r="J34" s="1666" t="e">
        <f>LOOKUP(I34,104:104,105:105)-LOOKUP(C34,104:104,105:105)+100</f>
        <v>#N/A</v>
      </c>
      <c r="K34" s="1958"/>
      <c r="L34" s="2968"/>
      <c r="M34" s="2028"/>
      <c r="N34" s="2028"/>
      <c r="O34" s="2028"/>
      <c r="P34" s="3619"/>
      <c r="Q34" s="1735" t="str">
        <f t="shared" si="11"/>
        <v>项目建筑规模</v>
      </c>
      <c r="R34" s="1736" t="s">
        <v>25</v>
      </c>
      <c r="S34" s="1737" t="e">
        <f t="shared" si="12"/>
        <v>#N/A</v>
      </c>
      <c r="T34" s="1736" t="s">
        <v>25</v>
      </c>
      <c r="U34" s="1737" t="e">
        <f t="shared" si="13"/>
        <v>#N/A</v>
      </c>
      <c r="V34" s="1736" t="s">
        <v>25</v>
      </c>
      <c r="W34" s="1737" t="e">
        <f t="shared" si="14"/>
        <v>#N/A</v>
      </c>
      <c r="X34" s="1738"/>
      <c r="Y34" s="3619"/>
      <c r="Z34" s="1739" t="str">
        <f t="shared" si="15"/>
        <v>项目建筑规模</v>
      </c>
      <c r="AA34" s="2038" t="e">
        <f t="shared" si="3"/>
        <v>#N/A</v>
      </c>
      <c r="AB34" s="2038" t="e">
        <f t="shared" si="4"/>
        <v>#N/A</v>
      </c>
      <c r="AC34" s="2038" t="e">
        <f t="shared" si="5"/>
        <v>#N/A</v>
      </c>
    </row>
    <row r="35" spans="1:29" ht="15">
      <c r="A35" s="1741"/>
      <c r="B35" s="1664" t="s">
        <v>2218</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19"/>
      <c r="Q35" s="2883" t="str">
        <f t="shared" si="11"/>
        <v>建筑结构</v>
      </c>
      <c r="R35" s="1694" t="s">
        <v>25</v>
      </c>
      <c r="S35" s="1695">
        <f t="shared" si="12"/>
        <v>100</v>
      </c>
      <c r="T35" s="1694" t="s">
        <v>25</v>
      </c>
      <c r="U35" s="1695">
        <f t="shared" si="13"/>
        <v>100</v>
      </c>
      <c r="V35" s="1694" t="s">
        <v>25</v>
      </c>
      <c r="W35" s="1695">
        <f t="shared" si="14"/>
        <v>100</v>
      </c>
      <c r="X35" s="2043"/>
      <c r="Y35" s="3619"/>
      <c r="Z35" s="2047" t="str">
        <f t="shared" si="15"/>
        <v>建筑结构</v>
      </c>
      <c r="AA35" s="2038">
        <f t="shared" si="3"/>
        <v>1</v>
      </c>
      <c r="AB35" s="2038">
        <f t="shared" si="4"/>
        <v>1</v>
      </c>
      <c r="AC35" s="2038">
        <f t="shared" si="5"/>
        <v>1</v>
      </c>
    </row>
    <row r="36" spans="1:29" ht="15">
      <c r="A36" s="1741"/>
      <c r="B36" s="1664" t="s">
        <v>2303</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19"/>
      <c r="Q36" s="2883" t="str">
        <f t="shared" si="11"/>
        <v>公共部分装修</v>
      </c>
      <c r="R36" s="1694" t="s">
        <v>25</v>
      </c>
      <c r="S36" s="1695">
        <f t="shared" si="12"/>
        <v>100</v>
      </c>
      <c r="T36" s="1694" t="s">
        <v>25</v>
      </c>
      <c r="U36" s="1695">
        <f t="shared" si="13"/>
        <v>100</v>
      </c>
      <c r="V36" s="1694" t="s">
        <v>25</v>
      </c>
      <c r="W36" s="1695">
        <f t="shared" si="14"/>
        <v>100</v>
      </c>
      <c r="X36" s="2043"/>
      <c r="Y36" s="3619"/>
      <c r="Z36" s="2047" t="str">
        <f t="shared" si="15"/>
        <v>公共部分装修</v>
      </c>
      <c r="AA36" s="2038">
        <f t="shared" si="3"/>
        <v>1</v>
      </c>
      <c r="AB36" s="2038">
        <f t="shared" si="4"/>
        <v>1</v>
      </c>
      <c r="AC36" s="2038">
        <f t="shared" si="5"/>
        <v>1</v>
      </c>
    </row>
    <row r="37" spans="1:29" ht="15">
      <c r="A37" s="1741"/>
      <c r="B37" s="1664" t="s">
        <v>2304</v>
      </c>
      <c r="C37" s="1745"/>
      <c r="D37" s="1680">
        <v>100</v>
      </c>
      <c r="E37" s="1745"/>
      <c r="F37" s="1723" t="e">
        <f>LOOKUP(E37,111:111,112:112)-LOOKUP(C37,111:111,112:112)+100</f>
        <v>#N/A</v>
      </c>
      <c r="G37" s="1745"/>
      <c r="H37" s="1723" t="e">
        <f>LOOKUP(G37,111:111,112:112)-LOOKUP(C37,111:111,112:112)+100</f>
        <v>#N/A</v>
      </c>
      <c r="I37" s="1745"/>
      <c r="J37" s="1680" t="e">
        <f>LOOKUP(I37,111:111,112:112)-LOOKUP(C37,111:111,112:112)+100</f>
        <v>#N/A</v>
      </c>
      <c r="K37" s="1961"/>
      <c r="L37" s="2969"/>
      <c r="M37" s="2965"/>
      <c r="N37" s="2965"/>
      <c r="O37" s="2965"/>
      <c r="P37" s="3619"/>
      <c r="Q37" s="2883" t="str">
        <f t="shared" si="11"/>
        <v>成新度</v>
      </c>
      <c r="R37" s="1694" t="s">
        <v>25</v>
      </c>
      <c r="S37" s="1695" t="e">
        <f t="shared" si="12"/>
        <v>#N/A</v>
      </c>
      <c r="T37" s="1694" t="s">
        <v>25</v>
      </c>
      <c r="U37" s="1695" t="e">
        <f t="shared" si="13"/>
        <v>#N/A</v>
      </c>
      <c r="V37" s="1694" t="s">
        <v>25</v>
      </c>
      <c r="W37" s="1695" t="e">
        <f t="shared" si="14"/>
        <v>#N/A</v>
      </c>
      <c r="X37" s="2043"/>
      <c r="Y37" s="3619"/>
      <c r="Z37" s="2047" t="str">
        <f t="shared" si="15"/>
        <v>成新度</v>
      </c>
      <c r="AA37" s="2038" t="e">
        <f t="shared" si="3"/>
        <v>#N/A</v>
      </c>
      <c r="AB37" s="2038" t="e">
        <f t="shared" si="4"/>
        <v>#N/A</v>
      </c>
      <c r="AC37" s="2038" t="e">
        <f t="shared" si="5"/>
        <v>#N/A</v>
      </c>
    </row>
    <row r="38" spans="1:29" s="1653" customFormat="1" ht="15">
      <c r="A38" s="1744"/>
      <c r="B38" s="1664" t="s">
        <v>2331</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19"/>
      <c r="Q38" s="2882" t="str">
        <f t="shared" si="11"/>
        <v>写字楼等级</v>
      </c>
      <c r="R38" s="1649" t="s">
        <v>25</v>
      </c>
      <c r="S38" s="1650">
        <f t="shared" si="12"/>
        <v>100</v>
      </c>
      <c r="T38" s="1649" t="s">
        <v>25</v>
      </c>
      <c r="U38" s="1650">
        <f t="shared" si="13"/>
        <v>100</v>
      </c>
      <c r="V38" s="1649" t="s">
        <v>25</v>
      </c>
      <c r="W38" s="1650">
        <f t="shared" si="14"/>
        <v>100</v>
      </c>
      <c r="X38" s="1651"/>
      <c r="Y38" s="3619"/>
      <c r="Z38" s="1662" t="str">
        <f t="shared" si="15"/>
        <v>写字楼等级</v>
      </c>
      <c r="AA38" s="1652">
        <f t="shared" si="3"/>
        <v>1</v>
      </c>
      <c r="AB38" s="1652">
        <f t="shared" si="4"/>
        <v>1</v>
      </c>
      <c r="AC38" s="1652">
        <f t="shared" si="5"/>
        <v>1</v>
      </c>
    </row>
    <row r="39" spans="1:29" ht="15">
      <c r="A39" s="1741"/>
      <c r="B39" s="1664" t="s">
        <v>2332</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19" t="s">
        <v>2216</v>
      </c>
      <c r="Q39" s="2883" t="str">
        <f t="shared" si="11"/>
        <v>物业管理</v>
      </c>
      <c r="R39" s="1694" t="s">
        <v>25</v>
      </c>
      <c r="S39" s="1695">
        <f t="shared" si="12"/>
        <v>100</v>
      </c>
      <c r="T39" s="1694" t="s">
        <v>25</v>
      </c>
      <c r="U39" s="1695">
        <f t="shared" si="13"/>
        <v>100</v>
      </c>
      <c r="V39" s="1694" t="s">
        <v>25</v>
      </c>
      <c r="W39" s="1695">
        <f t="shared" si="14"/>
        <v>100</v>
      </c>
      <c r="X39" s="2043"/>
      <c r="Y39" s="3619" t="s">
        <v>2216</v>
      </c>
      <c r="Z39" s="2047" t="str">
        <f t="shared" si="15"/>
        <v>物业管理</v>
      </c>
      <c r="AA39" s="2038">
        <f t="shared" si="3"/>
        <v>1</v>
      </c>
      <c r="AB39" s="2038">
        <f t="shared" si="4"/>
        <v>1</v>
      </c>
      <c r="AC39" s="2038">
        <f t="shared" si="5"/>
        <v>1</v>
      </c>
    </row>
    <row r="40" spans="1:29" ht="15">
      <c r="A40" s="1741"/>
      <c r="B40" s="1664" t="s">
        <v>2305</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19"/>
      <c r="Q40" s="2883" t="str">
        <f t="shared" si="11"/>
        <v>市政基础设施</v>
      </c>
      <c r="R40" s="1694" t="s">
        <v>25</v>
      </c>
      <c r="S40" s="1695">
        <f t="shared" si="12"/>
        <v>100</v>
      </c>
      <c r="T40" s="1694" t="s">
        <v>25</v>
      </c>
      <c r="U40" s="1695">
        <f t="shared" si="13"/>
        <v>100</v>
      </c>
      <c r="V40" s="1694" t="s">
        <v>25</v>
      </c>
      <c r="W40" s="1695">
        <f t="shared" si="14"/>
        <v>100</v>
      </c>
      <c r="X40" s="2043"/>
      <c r="Y40" s="3619"/>
      <c r="Z40" s="2047" t="str">
        <f t="shared" si="15"/>
        <v>市政基础设施</v>
      </c>
      <c r="AA40" s="2038">
        <f t="shared" si="3"/>
        <v>1</v>
      </c>
      <c r="AB40" s="2038">
        <f t="shared" si="4"/>
        <v>1</v>
      </c>
      <c r="AC40" s="2038">
        <f t="shared" si="5"/>
        <v>1</v>
      </c>
    </row>
    <row r="41" spans="1:29" ht="15">
      <c r="A41" s="1741"/>
      <c r="B41" s="1664" t="s">
        <v>2307</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19"/>
      <c r="Q41" s="2883" t="str">
        <f t="shared" si="11"/>
        <v>层高</v>
      </c>
      <c r="R41" s="1694" t="s">
        <v>25</v>
      </c>
      <c r="S41" s="1695">
        <f t="shared" si="12"/>
        <v>100</v>
      </c>
      <c r="T41" s="1694" t="s">
        <v>25</v>
      </c>
      <c r="U41" s="1695">
        <f t="shared" si="13"/>
        <v>100</v>
      </c>
      <c r="V41" s="1694" t="s">
        <v>25</v>
      </c>
      <c r="W41" s="1695">
        <f t="shared" si="14"/>
        <v>100</v>
      </c>
      <c r="X41" s="2043"/>
      <c r="Y41" s="3619"/>
      <c r="Z41" s="2047" t="str">
        <f t="shared" si="15"/>
        <v>层高</v>
      </c>
      <c r="AA41" s="2038">
        <f t="shared" si="3"/>
        <v>1</v>
      </c>
      <c r="AB41" s="2038">
        <f t="shared" si="4"/>
        <v>1</v>
      </c>
      <c r="AC41" s="2038">
        <f t="shared" si="5"/>
        <v>1</v>
      </c>
    </row>
    <row r="42" spans="1:29" s="1740" customFormat="1" ht="15">
      <c r="A42" s="1733"/>
      <c r="B42" s="2039" t="s">
        <v>2333</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19"/>
      <c r="Q42" s="1735" t="str">
        <f t="shared" si="11"/>
        <v>单套建筑面积</v>
      </c>
      <c r="R42" s="1736" t="s">
        <v>25</v>
      </c>
      <c r="S42" s="1737">
        <f t="shared" si="12"/>
        <v>100</v>
      </c>
      <c r="T42" s="1736" t="s">
        <v>25</v>
      </c>
      <c r="U42" s="1737">
        <f t="shared" si="13"/>
        <v>100</v>
      </c>
      <c r="V42" s="1736" t="s">
        <v>25</v>
      </c>
      <c r="W42" s="1737">
        <f t="shared" si="14"/>
        <v>100</v>
      </c>
      <c r="X42" s="1738"/>
      <c r="Y42" s="3619"/>
      <c r="Z42" s="1739" t="str">
        <f t="shared" si="15"/>
        <v>单套建筑面积</v>
      </c>
      <c r="AA42" s="2038">
        <f t="shared" si="3"/>
        <v>1</v>
      </c>
      <c r="AB42" s="2038">
        <f t="shared" si="4"/>
        <v>1</v>
      </c>
      <c r="AC42" s="2038">
        <f t="shared" si="5"/>
        <v>1</v>
      </c>
    </row>
    <row r="43" spans="1:29" ht="15">
      <c r="A43" s="1741"/>
      <c r="B43" s="1664" t="s">
        <v>2310</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9"/>
      <c r="M43" s="2965"/>
      <c r="N43" s="2965"/>
      <c r="O43" s="2965"/>
      <c r="P43" s="3619"/>
      <c r="Q43" s="2883" t="str">
        <f t="shared" si="11"/>
        <v>内部装修</v>
      </c>
      <c r="R43" s="1694" t="s">
        <v>25</v>
      </c>
      <c r="S43" s="1695">
        <f t="shared" si="12"/>
        <v>100</v>
      </c>
      <c r="T43" s="1694" t="s">
        <v>25</v>
      </c>
      <c r="U43" s="1695">
        <f t="shared" si="13"/>
        <v>100</v>
      </c>
      <c r="V43" s="1694" t="s">
        <v>25</v>
      </c>
      <c r="W43" s="1695">
        <f t="shared" si="14"/>
        <v>100</v>
      </c>
      <c r="X43" s="2043"/>
      <c r="Y43" s="3619"/>
      <c r="Z43" s="2047" t="str">
        <f t="shared" si="15"/>
        <v>内部装修</v>
      </c>
      <c r="AA43" s="2038">
        <f t="shared" si="3"/>
        <v>1</v>
      </c>
      <c r="AB43" s="2038">
        <f t="shared" si="4"/>
        <v>1</v>
      </c>
      <c r="AC43" s="2038">
        <f t="shared" si="5"/>
        <v>1</v>
      </c>
    </row>
    <row r="44" spans="1:29" ht="15">
      <c r="A44" s="1741"/>
      <c r="B44" s="1664" t="s">
        <v>2227</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19"/>
      <c r="Q44" s="2883" t="str">
        <f t="shared" si="11"/>
        <v>内部装修维护情况</v>
      </c>
      <c r="R44" s="1694" t="s">
        <v>25</v>
      </c>
      <c r="S44" s="1695">
        <f t="shared" si="12"/>
        <v>100</v>
      </c>
      <c r="T44" s="1694" t="s">
        <v>25</v>
      </c>
      <c r="U44" s="1695">
        <f t="shared" si="13"/>
        <v>100</v>
      </c>
      <c r="V44" s="1694" t="s">
        <v>25</v>
      </c>
      <c r="W44" s="1695">
        <f t="shared" si="14"/>
        <v>100</v>
      </c>
      <c r="X44" s="2043"/>
      <c r="Y44" s="3619"/>
      <c r="Z44" s="2047" t="str">
        <f t="shared" si="15"/>
        <v>内部装修维护情况</v>
      </c>
      <c r="AA44" s="2038">
        <f t="shared" si="3"/>
        <v>1</v>
      </c>
      <c r="AB44" s="2038">
        <f t="shared" si="4"/>
        <v>1</v>
      </c>
      <c r="AC44" s="2038">
        <f t="shared" si="5"/>
        <v>1</v>
      </c>
    </row>
    <row r="45" spans="1:29" s="1653" customFormat="1" ht="15">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19"/>
      <c r="Q45" s="2882">
        <f t="shared" si="11"/>
        <v>111</v>
      </c>
      <c r="R45" s="1649" t="s">
        <v>25</v>
      </c>
      <c r="S45" s="1650">
        <f t="shared" si="12"/>
        <v>100</v>
      </c>
      <c r="T45" s="1649" t="s">
        <v>25</v>
      </c>
      <c r="U45" s="1650">
        <f t="shared" si="13"/>
        <v>100</v>
      </c>
      <c r="V45" s="1649" t="s">
        <v>25</v>
      </c>
      <c r="W45" s="1650">
        <f t="shared" si="14"/>
        <v>100</v>
      </c>
      <c r="X45" s="1651"/>
      <c r="Y45" s="3619"/>
      <c r="Z45" s="1662">
        <f t="shared" si="15"/>
        <v>111</v>
      </c>
      <c r="AA45" s="1652">
        <f t="shared" si="3"/>
        <v>1</v>
      </c>
      <c r="AB45" s="1652">
        <f t="shared" si="4"/>
        <v>1</v>
      </c>
      <c r="AC45" s="1652">
        <f t="shared" si="5"/>
        <v>1</v>
      </c>
    </row>
    <row r="46" spans="1:29" ht="15">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19"/>
      <c r="Q46" s="2883">
        <f t="shared" si="11"/>
        <v>111</v>
      </c>
      <c r="R46" s="1694" t="s">
        <v>25</v>
      </c>
      <c r="S46" s="1695">
        <f t="shared" si="12"/>
        <v>100</v>
      </c>
      <c r="T46" s="1694" t="s">
        <v>25</v>
      </c>
      <c r="U46" s="1695">
        <f t="shared" si="13"/>
        <v>100</v>
      </c>
      <c r="V46" s="1694" t="s">
        <v>25</v>
      </c>
      <c r="W46" s="1695">
        <f t="shared" si="14"/>
        <v>100</v>
      </c>
      <c r="X46" s="2043"/>
      <c r="Y46" s="3619"/>
      <c r="Z46" s="2047">
        <f t="shared" si="15"/>
        <v>111</v>
      </c>
      <c r="AA46" s="2038">
        <f t="shared" si="3"/>
        <v>1</v>
      </c>
      <c r="AB46" s="2038">
        <f t="shared" si="4"/>
        <v>1</v>
      </c>
      <c r="AC46" s="2038">
        <f t="shared" si="5"/>
        <v>1</v>
      </c>
    </row>
    <row r="47" spans="1:29" ht="15.75"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20"/>
      <c r="Q47" s="2883">
        <f t="shared" si="11"/>
        <v>111</v>
      </c>
      <c r="R47" s="1694" t="s">
        <v>25</v>
      </c>
      <c r="S47" s="1695">
        <f t="shared" si="12"/>
        <v>100</v>
      </c>
      <c r="T47" s="1694" t="s">
        <v>25</v>
      </c>
      <c r="U47" s="1695">
        <f t="shared" si="13"/>
        <v>100</v>
      </c>
      <c r="V47" s="1694" t="s">
        <v>25</v>
      </c>
      <c r="W47" s="1695">
        <f t="shared" si="14"/>
        <v>100</v>
      </c>
      <c r="X47" s="2043"/>
      <c r="Y47" s="3620"/>
      <c r="Z47" s="2047">
        <f t="shared" si="15"/>
        <v>111</v>
      </c>
      <c r="AA47" s="2038">
        <f t="shared" si="3"/>
        <v>1</v>
      </c>
      <c r="AB47" s="2038">
        <f t="shared" si="4"/>
        <v>1</v>
      </c>
      <c r="AC47" s="2038">
        <f t="shared" si="5"/>
        <v>1</v>
      </c>
    </row>
    <row r="48" spans="1:29" ht="15">
      <c r="A48" s="1750" t="s">
        <v>2228</v>
      </c>
      <c r="B48" s="1751"/>
      <c r="C48" s="1752" t="s">
        <v>1</v>
      </c>
      <c r="D48" s="1753"/>
      <c r="E48" s="1754"/>
      <c r="F48" s="1755"/>
      <c r="G48" s="1756"/>
      <c r="H48" s="1757"/>
      <c r="I48" s="1754"/>
      <c r="J48" s="1757"/>
      <c r="K48" s="1982"/>
      <c r="L48" s="2970"/>
      <c r="M48" s="2965"/>
      <c r="N48" s="2965"/>
      <c r="O48" s="2965"/>
      <c r="P48" s="3611" t="str">
        <f>A48</f>
        <v>成交单价（元/平方米）</v>
      </c>
      <c r="Q48" s="3611"/>
      <c r="R48" s="3607">
        <f>E48</f>
        <v>0</v>
      </c>
      <c r="S48" s="3607"/>
      <c r="T48" s="3607">
        <f>G48</f>
        <v>0</v>
      </c>
      <c r="U48" s="3607"/>
      <c r="V48" s="3607">
        <f>I48</f>
        <v>0</v>
      </c>
      <c r="W48" s="3607"/>
      <c r="X48" s="1760"/>
      <c r="Y48" s="2042"/>
      <c r="Z48" s="1760"/>
      <c r="AA48" s="1760"/>
      <c r="AB48" s="1760"/>
      <c r="AC48" s="1760"/>
    </row>
    <row r="49" spans="1:29" ht="15.75" thickBot="1">
      <c r="A49" s="1762" t="s">
        <v>2311</v>
      </c>
      <c r="B49" s="1763"/>
      <c r="C49" s="1764" t="e">
        <f>R50</f>
        <v>#DIV/0!</v>
      </c>
      <c r="D49" s="1765" t="s">
        <v>2683</v>
      </c>
      <c r="E49" s="1766" t="e">
        <f>R49</f>
        <v>#DIV/0!</v>
      </c>
      <c r="F49" s="1767"/>
      <c r="G49" s="1764" t="e">
        <f>T49</f>
        <v>#DIV/0!</v>
      </c>
      <c r="H49" s="1767"/>
      <c r="I49" s="1766" t="e">
        <f>V49</f>
        <v>#DIV/0!</v>
      </c>
      <c r="J49" s="1767"/>
      <c r="K49" s="2479">
        <f>F49+H49+J49</f>
        <v>0</v>
      </c>
      <c r="L49" s="2970"/>
      <c r="M49" s="2965"/>
      <c r="N49" s="2965"/>
      <c r="O49" s="2965"/>
      <c r="P49" s="3611" t="str">
        <f>A49</f>
        <v>比较价值（元/平方米）</v>
      </c>
      <c r="Q49" s="3611"/>
      <c r="R49" s="3607" t="e">
        <f>IF(E1="售价",ROUND(PRODUCT(R48,AA7:AA47),0),ROUND(PRODUCT(R48,AA7:AA47),1))</f>
        <v>#DIV/0!</v>
      </c>
      <c r="S49" s="3607"/>
      <c r="T49" s="3607" t="e">
        <f>IF(E1="售价",ROUND(PRODUCT(T48,AB7:AB47),0),ROUND(PRODUCT(T48,AB7:AB47),1))</f>
        <v>#DIV/0!</v>
      </c>
      <c r="U49" s="3607"/>
      <c r="V49" s="3607" t="e">
        <f>IF(E1="售价",ROUND(PRODUCT(V48,AC7:AC47),0),ROUND(PRODUCT(V48,AC7:AC47),1))</f>
        <v>#DIV/0!</v>
      </c>
      <c r="W49" s="3607"/>
      <c r="X49" s="1760"/>
      <c r="Y49" s="1760"/>
      <c r="Z49" s="1760"/>
      <c r="AA49" s="1760"/>
      <c r="AB49" s="1760"/>
      <c r="AC49" s="1760"/>
    </row>
    <row r="50" spans="1:29" ht="15.75" thickBot="1">
      <c r="A50" s="1768" t="s">
        <v>2334</v>
      </c>
      <c r="B50" s="1769"/>
      <c r="C50" s="1771" t="e">
        <f>R50</f>
        <v>#DIV/0!</v>
      </c>
      <c r="D50" s="1771"/>
      <c r="E50" s="1771"/>
      <c r="F50" s="1771"/>
      <c r="G50" s="1771"/>
      <c r="H50" s="1771"/>
      <c r="I50" s="1771"/>
      <c r="J50" s="1771"/>
      <c r="K50" s="1987"/>
      <c r="L50" s="2970"/>
      <c r="M50" s="2965"/>
      <c r="N50" s="2965"/>
      <c r="O50" s="2965"/>
      <c r="P50" s="3608" t="str">
        <f>A50</f>
        <v>估价对象XX用房的比较价值（楼面单价，元/平方米）</v>
      </c>
      <c r="Q50" s="3609"/>
      <c r="R50" s="3610" t="e">
        <f>IF(E1="售价",ROUND(IF(D49="简单平均",AVERAGE(R49:V49),R49*F49+T49*H49+V49*J49),0),ROUND(IF(D49="简单平均",AVERAGE(R49:V49),R49*F49+T49*H49+V49*J49),1))</f>
        <v>#DIV/0!</v>
      </c>
      <c r="S50" s="3610"/>
      <c r="T50" s="3610"/>
      <c r="U50" s="3610"/>
      <c r="V50" s="3610"/>
      <c r="W50" s="3610"/>
      <c r="X50" s="1760"/>
      <c r="Y50" s="1760"/>
      <c r="Z50" s="1760"/>
      <c r="AA50" s="1760"/>
      <c r="AB50" s="1760"/>
      <c r="AC50" s="1760"/>
    </row>
    <row r="51" spans="1:29">
      <c r="G51" s="2974"/>
    </row>
    <row r="53" spans="1:29" ht="13.5" customHeight="1">
      <c r="C53" s="383" t="s">
        <v>2313</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2314</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2315</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7"/>
      <c r="L55" s="2971"/>
    </row>
    <row r="56" spans="1:29" s="1782" customFormat="1">
      <c r="B56" s="2975"/>
      <c r="C56" s="2976"/>
      <c r="K56" s="2977"/>
      <c r="L56" s="2971"/>
    </row>
    <row r="57" spans="1:29">
      <c r="B57" s="2975"/>
      <c r="C57" s="2976"/>
    </row>
    <row r="58" spans="1:29" ht="21.75" thickBot="1">
      <c r="A58" s="1785" t="s">
        <v>2316</v>
      </c>
      <c r="B58" s="1760"/>
      <c r="C58" s="1786"/>
      <c r="D58" s="1786"/>
      <c r="E58" s="1786"/>
      <c r="F58" s="1786"/>
      <c r="G58" s="1786"/>
      <c r="H58" s="1786"/>
      <c r="I58" s="1786"/>
      <c r="J58" s="1786"/>
      <c r="K58" s="1787"/>
      <c r="L58" s="1788"/>
      <c r="M58" s="1786"/>
      <c r="N58" s="2973"/>
      <c r="O58" s="2973"/>
      <c r="P58" s="2014"/>
      <c r="Q58" s="1790"/>
    </row>
    <row r="59" spans="1:29" s="1796" customFormat="1" ht="15">
      <c r="A59" s="1791" t="s">
        <v>2198</v>
      </c>
      <c r="B59" s="1792"/>
      <c r="C59" s="1793" t="str">
        <f>YEAR(C7)&amp;"-"&amp;MONTH(C7)</f>
        <v>2022-3</v>
      </c>
      <c r="D59" s="1794">
        <f>EDATE(C59,-1)</f>
        <v>44593</v>
      </c>
      <c r="E59" s="1794">
        <f t="shared" ref="E59:O59" si="16">EDATE(D59,-1)</f>
        <v>44562</v>
      </c>
      <c r="F59" s="1794">
        <f t="shared" si="16"/>
        <v>44531</v>
      </c>
      <c r="G59" s="1794">
        <f t="shared" si="16"/>
        <v>44501</v>
      </c>
      <c r="H59" s="1794">
        <f t="shared" si="16"/>
        <v>44470</v>
      </c>
      <c r="I59" s="1794">
        <f t="shared" si="16"/>
        <v>44440</v>
      </c>
      <c r="J59" s="1794">
        <f t="shared" si="16"/>
        <v>44409</v>
      </c>
      <c r="K59" s="1794">
        <f t="shared" si="16"/>
        <v>44378</v>
      </c>
      <c r="L59" s="1794">
        <f t="shared" si="16"/>
        <v>44348</v>
      </c>
      <c r="M59" s="1794">
        <f t="shared" si="16"/>
        <v>44317</v>
      </c>
      <c r="N59" s="1794">
        <f t="shared" si="16"/>
        <v>44287</v>
      </c>
      <c r="O59" s="1794">
        <f t="shared" si="16"/>
        <v>44256</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2236</v>
      </c>
      <c r="B61" s="1804"/>
      <c r="C61" s="1805"/>
      <c r="D61" s="1806"/>
      <c r="E61" s="1806"/>
      <c r="F61" s="1806"/>
      <c r="G61" s="1806"/>
      <c r="H61" s="1806"/>
      <c r="I61" s="1806"/>
      <c r="J61" s="1806"/>
      <c r="K61" s="1806"/>
      <c r="L61" s="1806"/>
      <c r="M61" s="1807"/>
      <c r="N61" s="1806"/>
      <c r="O61" s="2473"/>
      <c r="P61" s="1790"/>
      <c r="Q61" s="1790"/>
    </row>
    <row r="62" spans="1:29" s="1653" customFormat="1" ht="15">
      <c r="A62" s="1808" t="s">
        <v>2200</v>
      </c>
      <c r="B62" s="1798"/>
      <c r="C62" s="1809" t="s">
        <v>2201</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2239</v>
      </c>
      <c r="B64" s="1816" t="s">
        <v>2204</v>
      </c>
      <c r="C64" s="1817">
        <f>C9</f>
        <v>0</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2207</v>
      </c>
      <c r="C66" s="1828" t="s">
        <v>2240</v>
      </c>
      <c r="D66" s="1828" t="s">
        <v>2241</v>
      </c>
      <c r="E66" s="1828" t="s">
        <v>2242</v>
      </c>
      <c r="F66" s="1828" t="s">
        <v>2243</v>
      </c>
      <c r="G66" s="1828" t="s">
        <v>2244</v>
      </c>
      <c r="H66" s="1828" t="s">
        <v>2245</v>
      </c>
      <c r="I66" s="1828" t="s">
        <v>2246</v>
      </c>
      <c r="J66" s="1828"/>
      <c r="K66" s="428"/>
      <c r="L66" s="428"/>
      <c r="M66" s="1829"/>
      <c r="N66" s="2983"/>
      <c r="O66" s="2983"/>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4"/>
      <c r="O67" s="2984"/>
      <c r="P67" s="2026"/>
      <c r="Q67" s="1790"/>
    </row>
    <row r="68" spans="1:17" ht="15.75" thickTop="1">
      <c r="A68" s="1822"/>
      <c r="B68" s="1833" t="s">
        <v>2208</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c r="D69" s="1836"/>
      <c r="E69" s="1836"/>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2209</v>
      </c>
      <c r="B77" s="1816" t="s">
        <v>2335</v>
      </c>
      <c r="C77" s="1854" t="s">
        <v>2248</v>
      </c>
      <c r="D77" s="1854" t="s">
        <v>2249</v>
      </c>
      <c r="E77" s="1854" t="s">
        <v>2250</v>
      </c>
      <c r="F77" s="1854" t="s">
        <v>2251</v>
      </c>
      <c r="G77" s="1854" t="s">
        <v>2252</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2253</v>
      </c>
      <c r="C79" s="579" t="s">
        <v>2248</v>
      </c>
      <c r="D79" s="579" t="s">
        <v>2249</v>
      </c>
      <c r="E79" s="579" t="s">
        <v>2250</v>
      </c>
      <c r="F79" s="579" t="s">
        <v>2251</v>
      </c>
      <c r="G79" s="579" t="s">
        <v>2252</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2254</v>
      </c>
      <c r="C81" s="579" t="s">
        <v>2248</v>
      </c>
      <c r="D81" s="579" t="s">
        <v>2249</v>
      </c>
      <c r="E81" s="579" t="s">
        <v>2250</v>
      </c>
      <c r="F81" s="579" t="s">
        <v>2251</v>
      </c>
      <c r="G81" s="579" t="s">
        <v>2252</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2297</v>
      </c>
      <c r="C83" s="1828" t="s">
        <v>2255</v>
      </c>
      <c r="D83" s="1828" t="s">
        <v>2256</v>
      </c>
      <c r="E83" s="1828" t="s">
        <v>2257</v>
      </c>
      <c r="F83" s="1828" t="s">
        <v>2258</v>
      </c>
      <c r="G83" s="1828" t="s">
        <v>2259</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2336</v>
      </c>
      <c r="C85" s="579" t="s">
        <v>2248</v>
      </c>
      <c r="D85" s="579" t="s">
        <v>2249</v>
      </c>
      <c r="E85" s="579" t="s">
        <v>2250</v>
      </c>
      <c r="F85" s="579" t="s">
        <v>2251</v>
      </c>
      <c r="G85" s="579" t="s">
        <v>2252</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2337</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f>B29</f>
        <v>111</v>
      </c>
      <c r="C93" s="468"/>
      <c r="D93" s="468"/>
      <c r="E93" s="468"/>
      <c r="F93" s="468"/>
      <c r="G93" s="468"/>
      <c r="H93" s="468"/>
      <c r="I93" s="468"/>
      <c r="J93" s="468"/>
      <c r="K93" s="468"/>
      <c r="L93" s="468"/>
      <c r="M93" s="1859"/>
      <c r="N93" s="2983"/>
      <c r="O93" s="2983"/>
      <c r="P93" s="2026"/>
      <c r="Q93" s="1790"/>
    </row>
    <row r="94" spans="1:17" ht="15.75" thickBot="1">
      <c r="A94" s="1822"/>
      <c r="B94" s="1830"/>
      <c r="C94" s="1843"/>
      <c r="D94" s="1824"/>
      <c r="E94" s="1824"/>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2214</v>
      </c>
      <c r="B101" s="1816" t="s">
        <v>2263</v>
      </c>
      <c r="C101" s="1818"/>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c r="D104" s="1870"/>
      <c r="E104" s="1870"/>
      <c r="F104" s="1870"/>
      <c r="G104" s="1870"/>
      <c r="H104" s="1870"/>
      <c r="I104" s="1870"/>
      <c r="J104" s="485"/>
      <c r="K104" s="485"/>
      <c r="L104" s="485"/>
      <c r="M104" s="1871"/>
      <c r="N104" s="2985"/>
      <c r="O104" s="2985"/>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4"/>
      <c r="O105" s="2984"/>
      <c r="P105" s="2027"/>
      <c r="Q105" s="1842"/>
    </row>
    <row r="106" spans="1:17" ht="15" thickTop="1">
      <c r="A106" s="1872"/>
      <c r="B106" s="1827" t="s">
        <v>2265</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2267</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2338</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2269</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2270</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2339</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2321</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2272</v>
      </c>
      <c r="C123" s="468"/>
      <c r="D123" s="468"/>
      <c r="E123" s="468"/>
      <c r="F123" s="1546"/>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4"/>
      <c r="O124" s="2984"/>
      <c r="P124" s="2026"/>
      <c r="Q124" s="1790"/>
    </row>
    <row r="125" spans="1:17" ht="15" thickTop="1">
      <c r="A125" s="1872"/>
      <c r="B125" s="1827" t="s">
        <v>2273</v>
      </c>
      <c r="C125" s="579" t="s">
        <v>2248</v>
      </c>
      <c r="D125" s="579" t="s">
        <v>2249</v>
      </c>
      <c r="E125" s="579" t="s">
        <v>2250</v>
      </c>
      <c r="F125" s="579" t="s">
        <v>2251</v>
      </c>
      <c r="G125" s="579" t="s">
        <v>2252</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2181</v>
      </c>
      <c r="B1" s="1195" t="s">
        <v>2340</v>
      </c>
      <c r="C1" s="1187"/>
      <c r="D1" s="1200"/>
      <c r="E1" s="1527"/>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IF(D2="——",IF(C2="元",ROUND(C43*D3,0),ROUND(C43*D3/10000,0)),IF(C2="元",ROUND(C43*D3,0),ROUND(C43*D3/10000,0))-E2)</f>
        <v>#DIV/0!</v>
      </c>
      <c r="C2" s="79" t="str">
        <f>'数据-取费表'!B3</f>
        <v>元</v>
      </c>
      <c r="D2" s="1528"/>
      <c r="E2" s="1547" t="e">
        <f ca="1">SUMIF(INDIRECT("'"&amp;G2&amp;"'"&amp;"!A:A"),"承租人权益价值",INDIRECT("'"&amp;G2&amp;"'"&amp;"!c:c"))</f>
        <v>#REF!</v>
      </c>
      <c r="F2" s="1529" t="str">
        <f>C2</f>
        <v>元</v>
      </c>
      <c r="G2" s="1530"/>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2184</v>
      </c>
      <c r="D3" s="292">
        <f>IF(C1="仅计算典型户型",'数据-取费表'!E5,'数据-取费表'!B5)</f>
        <v>259.41000000000003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77" t="s">
        <v>2186</v>
      </c>
      <c r="D4" s="3678"/>
      <c r="E4" s="3679" t="s">
        <v>2187</v>
      </c>
      <c r="F4" s="3680"/>
      <c r="G4" s="3677" t="s">
        <v>2188</v>
      </c>
      <c r="H4" s="3678"/>
      <c r="I4" s="3677" t="s">
        <v>2189</v>
      </c>
      <c r="J4" s="3678"/>
      <c r="K4" s="496" t="s">
        <v>2190</v>
      </c>
      <c r="L4" s="2992"/>
      <c r="M4" s="2993"/>
      <c r="N4" s="2993"/>
      <c r="O4" s="2993"/>
      <c r="P4" s="3681" t="s">
        <v>2191</v>
      </c>
      <c r="Q4" s="3682"/>
      <c r="R4" s="3664" t="s">
        <v>2187</v>
      </c>
      <c r="S4" s="3665"/>
      <c r="T4" s="3664" t="s">
        <v>2188</v>
      </c>
      <c r="U4" s="3665"/>
      <c r="V4" s="3687" t="s">
        <v>2189</v>
      </c>
      <c r="W4" s="3687"/>
      <c r="X4" s="1303"/>
      <c r="Y4" s="3664" t="s">
        <v>2191</v>
      </c>
      <c r="Z4" s="3665"/>
      <c r="AA4" s="3674" t="s">
        <v>2187</v>
      </c>
      <c r="AB4" s="3675" t="s">
        <v>2188</v>
      </c>
      <c r="AC4" s="3674" t="s">
        <v>2189</v>
      </c>
    </row>
    <row r="5" spans="1:29" ht="15">
      <c r="A5" s="297"/>
      <c r="B5" s="298"/>
      <c r="C5" s="3690" t="s">
        <v>2192</v>
      </c>
      <c r="D5" s="3691"/>
      <c r="E5" s="3688" t="s">
        <v>2193</v>
      </c>
      <c r="F5" s="3689"/>
      <c r="G5" s="3690" t="s">
        <v>2194</v>
      </c>
      <c r="H5" s="3691"/>
      <c r="I5" s="3690" t="s">
        <v>2195</v>
      </c>
      <c r="J5" s="3691"/>
      <c r="K5" s="496"/>
      <c r="L5" s="2992"/>
      <c r="M5" s="2993"/>
      <c r="N5" s="2993"/>
      <c r="O5" s="2993"/>
      <c r="P5" s="3683"/>
      <c r="Q5" s="3684"/>
      <c r="R5" s="3666"/>
      <c r="S5" s="3667"/>
      <c r="T5" s="3666"/>
      <c r="U5" s="3667"/>
      <c r="V5" s="3687"/>
      <c r="W5" s="3687"/>
      <c r="X5" s="1303"/>
      <c r="Y5" s="3666"/>
      <c r="Z5" s="3667"/>
      <c r="AA5" s="3675"/>
      <c r="AB5" s="3675"/>
      <c r="AC5" s="3675"/>
    </row>
    <row r="6" spans="1:29" ht="15.75" thickBot="1">
      <c r="A6" s="299"/>
      <c r="B6" s="300"/>
      <c r="C6" s="3692" t="s">
        <v>2196</v>
      </c>
      <c r="D6" s="3693"/>
      <c r="E6" s="3694" t="s">
        <v>2196</v>
      </c>
      <c r="F6" s="3695"/>
      <c r="G6" s="3692" t="s">
        <v>2196</v>
      </c>
      <c r="H6" s="3693"/>
      <c r="I6" s="3692" t="s">
        <v>2196</v>
      </c>
      <c r="J6" s="3693"/>
      <c r="K6" s="496" t="s">
        <v>2197</v>
      </c>
      <c r="L6" s="2992"/>
      <c r="M6" s="2993"/>
      <c r="N6" s="2993"/>
      <c r="O6" s="2993"/>
      <c r="P6" s="3685"/>
      <c r="Q6" s="3686"/>
      <c r="R6" s="3666"/>
      <c r="S6" s="3667"/>
      <c r="T6" s="3668"/>
      <c r="U6" s="3669"/>
      <c r="V6" s="3687"/>
      <c r="W6" s="3687"/>
      <c r="X6" s="1303"/>
      <c r="Y6" s="3668"/>
      <c r="Z6" s="3669"/>
      <c r="AA6" s="3676"/>
      <c r="AB6" s="3676"/>
      <c r="AC6" s="3676"/>
    </row>
    <row r="7" spans="1:29" s="25" customFormat="1" ht="15.75" thickBot="1">
      <c r="A7" s="301" t="s">
        <v>2198</v>
      </c>
      <c r="B7" s="302"/>
      <c r="C7" s="303">
        <f>'数据-取费表'!B2</f>
        <v>44636</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62" t="s">
        <v>2199</v>
      </c>
      <c r="Q7" s="3670"/>
      <c r="R7" s="627" t="s">
        <v>25</v>
      </c>
      <c r="S7" s="628">
        <f t="shared" ref="S7:S15" si="0">F7</f>
        <v>0</v>
      </c>
      <c r="T7" s="627" t="s">
        <v>25</v>
      </c>
      <c r="U7" s="628">
        <f t="shared" ref="U7:U15" si="1">H7</f>
        <v>0</v>
      </c>
      <c r="V7" s="627" t="s">
        <v>25</v>
      </c>
      <c r="W7" s="628">
        <f t="shared" ref="W7:W15" si="2">J7</f>
        <v>0</v>
      </c>
      <c r="X7" s="629"/>
      <c r="Y7" s="3662" t="s">
        <v>2199</v>
      </c>
      <c r="Z7" s="3663"/>
      <c r="AA7" s="630" t="e">
        <f>D7/F7</f>
        <v>#DIV/0!</v>
      </c>
      <c r="AB7" s="630" t="e">
        <f>D7/H7</f>
        <v>#DIV/0!</v>
      </c>
      <c r="AC7" s="630" t="e">
        <f>D7/J7</f>
        <v>#DIV/0!</v>
      </c>
    </row>
    <row r="8" spans="1:29" s="25" customFormat="1" ht="15.75" thickBot="1">
      <c r="A8" s="301" t="s">
        <v>2200</v>
      </c>
      <c r="B8" s="302"/>
      <c r="C8" s="307" t="s">
        <v>2822</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62" t="s">
        <v>2202</v>
      </c>
      <c r="Q8" s="3663"/>
      <c r="R8" s="627" t="s">
        <v>25</v>
      </c>
      <c r="S8" s="628">
        <f t="shared" si="0"/>
        <v>0</v>
      </c>
      <c r="T8" s="627" t="s">
        <v>25</v>
      </c>
      <c r="U8" s="628">
        <f t="shared" si="1"/>
        <v>0</v>
      </c>
      <c r="V8" s="627" t="s">
        <v>25</v>
      </c>
      <c r="W8" s="628">
        <f t="shared" si="2"/>
        <v>0</v>
      </c>
      <c r="X8" s="629"/>
      <c r="Y8" s="3662" t="s">
        <v>2202</v>
      </c>
      <c r="Z8" s="3663"/>
      <c r="AA8" s="630" t="e">
        <f t="shared" ref="AA8:AA40" si="3">D8/F8</f>
        <v>#DIV/0!</v>
      </c>
      <c r="AB8" s="630" t="e">
        <f t="shared" ref="AB8:AB40" si="4">D8/H8</f>
        <v>#DIV/0!</v>
      </c>
      <c r="AC8" s="630"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4" t="s">
        <v>2205</v>
      </c>
      <c r="Q9" s="1295" t="str">
        <f t="shared" ref="Q9:Q15" si="6">B9</f>
        <v>用途</v>
      </c>
      <c r="R9" s="627" t="s">
        <v>25</v>
      </c>
      <c r="S9" s="628">
        <f t="shared" si="0"/>
        <v>100</v>
      </c>
      <c r="T9" s="627" t="s">
        <v>25</v>
      </c>
      <c r="U9" s="628">
        <f t="shared" si="1"/>
        <v>100</v>
      </c>
      <c r="V9" s="627" t="s">
        <v>25</v>
      </c>
      <c r="W9" s="628">
        <f t="shared" si="2"/>
        <v>100</v>
      </c>
      <c r="X9" s="629"/>
      <c r="Y9" s="3673" t="s">
        <v>2206</v>
      </c>
      <c r="Z9" s="19" t="str">
        <f t="shared" ref="Z9:Z15" si="7">Q9</f>
        <v>用途</v>
      </c>
      <c r="AA9" s="630">
        <f t="shared" si="3"/>
        <v>1</v>
      </c>
      <c r="AB9" s="630">
        <f t="shared" si="4"/>
        <v>1</v>
      </c>
      <c r="AC9" s="630">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4"/>
      <c r="Q10" s="129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4"/>
      <c r="Q11" s="129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54"/>
      <c r="Q12" s="129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54"/>
      <c r="Q13" s="129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54"/>
      <c r="Q14" s="129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2209</v>
      </c>
      <c r="B15" s="22" t="s">
        <v>2341</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71" t="s">
        <v>2210</v>
      </c>
      <c r="Q15" s="1302" t="str">
        <f t="shared" si="6"/>
        <v>产业集聚程度</v>
      </c>
      <c r="R15" s="631" t="s">
        <v>25</v>
      </c>
      <c r="S15" s="632">
        <f t="shared" si="0"/>
        <v>100</v>
      </c>
      <c r="T15" s="631" t="s">
        <v>25</v>
      </c>
      <c r="U15" s="632">
        <f t="shared" si="1"/>
        <v>100</v>
      </c>
      <c r="V15" s="631" t="s">
        <v>25</v>
      </c>
      <c r="W15" s="632">
        <f t="shared" si="2"/>
        <v>100</v>
      </c>
      <c r="X15" s="1303"/>
      <c r="Y15" s="3671" t="s">
        <v>2210</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672"/>
      <c r="Q16" s="1302"/>
      <c r="R16" s="631"/>
      <c r="S16" s="632"/>
      <c r="T16" s="631"/>
      <c r="U16" s="632"/>
      <c r="V16" s="631"/>
      <c r="W16" s="632"/>
      <c r="X16" s="1303"/>
      <c r="Y16" s="3672"/>
      <c r="Z16" s="1304"/>
      <c r="AA16" s="1305">
        <v>1</v>
      </c>
      <c r="AB16" s="1305">
        <v>1</v>
      </c>
      <c r="AC16" s="1305">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72"/>
      <c r="Q17" s="1302" t="str">
        <f>B17</f>
        <v>交通便捷度</v>
      </c>
      <c r="R17" s="631" t="s">
        <v>25</v>
      </c>
      <c r="S17" s="632">
        <f>F17</f>
        <v>100</v>
      </c>
      <c r="T17" s="631" t="s">
        <v>25</v>
      </c>
      <c r="U17" s="632">
        <f>H17</f>
        <v>100</v>
      </c>
      <c r="V17" s="631" t="s">
        <v>25</v>
      </c>
      <c r="W17" s="632">
        <f>J17</f>
        <v>100</v>
      </c>
      <c r="X17" s="1303"/>
      <c r="Y17" s="3672"/>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672"/>
      <c r="Q18" s="1302"/>
      <c r="R18" s="631"/>
      <c r="S18" s="632"/>
      <c r="T18" s="631"/>
      <c r="U18" s="632"/>
      <c r="V18" s="631"/>
      <c r="W18" s="632"/>
      <c r="X18" s="1303"/>
      <c r="Y18" s="3672"/>
      <c r="Z18" s="1304"/>
      <c r="AA18" s="1305">
        <v>1</v>
      </c>
      <c r="AB18" s="1305">
        <v>1</v>
      </c>
      <c r="AC18" s="1305">
        <v>1</v>
      </c>
    </row>
    <row r="19" spans="1:29" ht="42.75">
      <c r="A19" s="318"/>
      <c r="B19" s="513" t="s">
        <v>2325</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72"/>
      <c r="Q19" s="1302" t="str">
        <f>B19</f>
        <v>公共配套设施</v>
      </c>
      <c r="R19" s="631" t="s">
        <v>25</v>
      </c>
      <c r="S19" s="632">
        <f>F19</f>
        <v>100</v>
      </c>
      <c r="T19" s="631" t="s">
        <v>25</v>
      </c>
      <c r="U19" s="632">
        <f>H19</f>
        <v>100</v>
      </c>
      <c r="V19" s="631" t="s">
        <v>25</v>
      </c>
      <c r="W19" s="632">
        <f>J19</f>
        <v>100</v>
      </c>
      <c r="X19" s="1303"/>
      <c r="Y19" s="3672"/>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672"/>
      <c r="Q20" s="1302"/>
      <c r="R20" s="631"/>
      <c r="S20" s="632"/>
      <c r="T20" s="631"/>
      <c r="U20" s="632"/>
      <c r="V20" s="631"/>
      <c r="W20" s="632"/>
      <c r="X20" s="1303"/>
      <c r="Y20" s="3672"/>
      <c r="Z20" s="1304"/>
      <c r="AA20" s="1305">
        <v>1</v>
      </c>
      <c r="AB20" s="1305">
        <v>1</v>
      </c>
      <c r="AC20" s="1305">
        <v>1</v>
      </c>
    </row>
    <row r="21" spans="1:29" ht="28.5">
      <c r="A21" s="318"/>
      <c r="B21" s="515" t="s">
        <v>2326</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72"/>
      <c r="Q21" s="1302" t="str">
        <f>B21</f>
        <v>基础设施水平</v>
      </c>
      <c r="R21" s="631" t="s">
        <v>25</v>
      </c>
      <c r="S21" s="632">
        <f>F21</f>
        <v>100</v>
      </c>
      <c r="T21" s="631" t="s">
        <v>25</v>
      </c>
      <c r="U21" s="632">
        <f>H21</f>
        <v>100</v>
      </c>
      <c r="V21" s="631" t="s">
        <v>25</v>
      </c>
      <c r="W21" s="632">
        <f>J21</f>
        <v>100</v>
      </c>
      <c r="X21" s="1303"/>
      <c r="Y21" s="3672"/>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672"/>
      <c r="Q22" s="1302"/>
      <c r="R22" s="631"/>
      <c r="S22" s="632"/>
      <c r="T22" s="631"/>
      <c r="U22" s="632"/>
      <c r="V22" s="631"/>
      <c r="W22" s="632"/>
      <c r="X22" s="1303"/>
      <c r="Y22" s="3672"/>
      <c r="Z22" s="1304"/>
      <c r="AA22" s="1305">
        <v>1</v>
      </c>
      <c r="AB22" s="1305">
        <v>1</v>
      </c>
      <c r="AC22" s="1305">
        <v>1</v>
      </c>
    </row>
    <row r="23" spans="1:29" ht="71.25">
      <c r="A23" s="318"/>
      <c r="B23" s="340" t="s">
        <v>2327</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72"/>
      <c r="Q23" s="1302" t="str">
        <f>B23</f>
        <v>环境质量</v>
      </c>
      <c r="R23" s="631" t="s">
        <v>25</v>
      </c>
      <c r="S23" s="632">
        <f>F23</f>
        <v>100</v>
      </c>
      <c r="T23" s="631" t="s">
        <v>25</v>
      </c>
      <c r="U23" s="632">
        <f>H23</f>
        <v>100</v>
      </c>
      <c r="V23" s="631" t="s">
        <v>25</v>
      </c>
      <c r="W23" s="632">
        <f>J23</f>
        <v>100</v>
      </c>
      <c r="X23" s="1303"/>
      <c r="Y23" s="3672"/>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672"/>
      <c r="Q24" s="1302"/>
      <c r="R24" s="631"/>
      <c r="S24" s="632"/>
      <c r="T24" s="631"/>
      <c r="U24" s="632"/>
      <c r="V24" s="631"/>
      <c r="W24" s="632"/>
      <c r="X24" s="1303"/>
      <c r="Y24" s="3672"/>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72"/>
      <c r="Q25" s="1302">
        <f>B25</f>
        <v>111</v>
      </c>
      <c r="R25" s="631" t="s">
        <v>25</v>
      </c>
      <c r="S25" s="632">
        <f>F25</f>
        <v>100</v>
      </c>
      <c r="T25" s="631" t="s">
        <v>25</v>
      </c>
      <c r="U25" s="632">
        <f>H25</f>
        <v>100</v>
      </c>
      <c r="V25" s="631" t="s">
        <v>25</v>
      </c>
      <c r="W25" s="632">
        <f>J25</f>
        <v>100</v>
      </c>
      <c r="X25" s="1303"/>
      <c r="Y25" s="3672"/>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72"/>
      <c r="Q26" s="1302">
        <f t="shared" ref="Q26:Q40" si="11">B26</f>
        <v>111</v>
      </c>
      <c r="R26" s="631" t="s">
        <v>25</v>
      </c>
      <c r="S26" s="632">
        <f>F26</f>
        <v>100</v>
      </c>
      <c r="T26" s="631" t="s">
        <v>25</v>
      </c>
      <c r="U26" s="632">
        <f>H26</f>
        <v>100</v>
      </c>
      <c r="V26" s="631" t="s">
        <v>25</v>
      </c>
      <c r="W26" s="632">
        <f>J26</f>
        <v>100</v>
      </c>
      <c r="X26" s="1303"/>
      <c r="Y26" s="3672"/>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72"/>
      <c r="Q27" s="1295">
        <f t="shared" si="11"/>
        <v>111</v>
      </c>
      <c r="R27" s="627" t="s">
        <v>25</v>
      </c>
      <c r="S27" s="628">
        <f>F27</f>
        <v>100</v>
      </c>
      <c r="T27" s="627" t="s">
        <v>25</v>
      </c>
      <c r="U27" s="628">
        <f>H27</f>
        <v>100</v>
      </c>
      <c r="V27" s="627" t="s">
        <v>25</v>
      </c>
      <c r="W27" s="628">
        <f>J27</f>
        <v>100</v>
      </c>
      <c r="X27" s="629"/>
      <c r="Y27" s="3672"/>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72"/>
      <c r="Q28" s="1302">
        <f t="shared" si="11"/>
        <v>111</v>
      </c>
      <c r="R28" s="631" t="s">
        <v>25</v>
      </c>
      <c r="S28" s="632">
        <f t="shared" ref="S28:S40" si="12">F28</f>
        <v>100</v>
      </c>
      <c r="T28" s="631" t="s">
        <v>25</v>
      </c>
      <c r="U28" s="632">
        <f t="shared" ref="U28:U40" si="13">H28</f>
        <v>100</v>
      </c>
      <c r="V28" s="631" t="s">
        <v>25</v>
      </c>
      <c r="W28" s="632">
        <f t="shared" ref="W28:W40" si="14">J28</f>
        <v>100</v>
      </c>
      <c r="X28" s="1303"/>
      <c r="Y28" s="3672"/>
      <c r="Z28" s="1304">
        <f t="shared" ref="Z28:Z40" si="15">Q28</f>
        <v>111</v>
      </c>
      <c r="AA28" s="1305">
        <f t="shared" si="3"/>
        <v>1</v>
      </c>
      <c r="AB28" s="1305">
        <f t="shared" si="4"/>
        <v>1</v>
      </c>
      <c r="AC28" s="1305">
        <f t="shared" si="5"/>
        <v>1</v>
      </c>
    </row>
    <row r="29" spans="1:29" ht="28.5">
      <c r="A29" s="354" t="s">
        <v>2214</v>
      </c>
      <c r="B29" s="24" t="s">
        <v>2330</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59" t="s">
        <v>2216</v>
      </c>
      <c r="Q29" s="1302" t="str">
        <f t="shared" si="11"/>
        <v>建筑类型</v>
      </c>
      <c r="R29" s="631" t="s">
        <v>25</v>
      </c>
      <c r="S29" s="632">
        <f t="shared" si="12"/>
        <v>100</v>
      </c>
      <c r="T29" s="631" t="s">
        <v>25</v>
      </c>
      <c r="U29" s="632">
        <f t="shared" si="13"/>
        <v>100</v>
      </c>
      <c r="V29" s="631" t="s">
        <v>25</v>
      </c>
      <c r="W29" s="632">
        <f t="shared" si="14"/>
        <v>100</v>
      </c>
      <c r="X29" s="1303"/>
      <c r="Y29" s="3660" t="s">
        <v>2216</v>
      </c>
      <c r="Z29" s="1304" t="str">
        <f t="shared" si="15"/>
        <v>建筑类型</v>
      </c>
      <c r="AA29" s="1305">
        <f t="shared" si="3"/>
        <v>1</v>
      </c>
      <c r="AB29" s="1305">
        <f t="shared" si="4"/>
        <v>1</v>
      </c>
      <c r="AC29" s="1305">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60"/>
      <c r="Q30" s="633" t="str">
        <f t="shared" si="11"/>
        <v>项目建筑规模</v>
      </c>
      <c r="R30" s="634" t="s">
        <v>25</v>
      </c>
      <c r="S30" s="635" t="e">
        <f t="shared" si="12"/>
        <v>#N/A</v>
      </c>
      <c r="T30" s="634" t="s">
        <v>25</v>
      </c>
      <c r="U30" s="635" t="e">
        <f t="shared" si="13"/>
        <v>#N/A</v>
      </c>
      <c r="V30" s="634" t="s">
        <v>25</v>
      </c>
      <c r="W30" s="635" t="e">
        <f t="shared" si="14"/>
        <v>#N/A</v>
      </c>
      <c r="X30" s="636"/>
      <c r="Y30" s="3660"/>
      <c r="Z30" s="637" t="str">
        <f t="shared" si="15"/>
        <v>项目建筑规模</v>
      </c>
      <c r="AA30" s="1305" t="e">
        <f t="shared" si="3"/>
        <v>#N/A</v>
      </c>
      <c r="AB30" s="1305" t="e">
        <f t="shared" si="4"/>
        <v>#N/A</v>
      </c>
      <c r="AC30" s="1305"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60"/>
      <c r="Q31" s="1302" t="str">
        <f t="shared" si="11"/>
        <v>建筑结构</v>
      </c>
      <c r="R31" s="631" t="s">
        <v>25</v>
      </c>
      <c r="S31" s="632">
        <f t="shared" si="12"/>
        <v>100</v>
      </c>
      <c r="T31" s="631" t="s">
        <v>25</v>
      </c>
      <c r="U31" s="632">
        <f t="shared" si="13"/>
        <v>100</v>
      </c>
      <c r="V31" s="631" t="s">
        <v>25</v>
      </c>
      <c r="W31" s="632">
        <f t="shared" si="14"/>
        <v>100</v>
      </c>
      <c r="X31" s="1303"/>
      <c r="Y31" s="3660"/>
      <c r="Z31" s="1304" t="str">
        <f t="shared" si="15"/>
        <v>建筑结构</v>
      </c>
      <c r="AA31" s="1305">
        <f t="shared" si="3"/>
        <v>1</v>
      </c>
      <c r="AB31" s="1305">
        <f t="shared" si="4"/>
        <v>1</v>
      </c>
      <c r="AC31" s="1305">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60"/>
      <c r="Q32" s="1302" t="str">
        <f t="shared" si="11"/>
        <v>公共部分装修</v>
      </c>
      <c r="R32" s="631" t="s">
        <v>25</v>
      </c>
      <c r="S32" s="632">
        <f t="shared" si="12"/>
        <v>100</v>
      </c>
      <c r="T32" s="631" t="s">
        <v>25</v>
      </c>
      <c r="U32" s="632">
        <f t="shared" si="13"/>
        <v>100</v>
      </c>
      <c r="V32" s="631" t="s">
        <v>25</v>
      </c>
      <c r="W32" s="632">
        <f t="shared" si="14"/>
        <v>100</v>
      </c>
      <c r="X32" s="1303"/>
      <c r="Y32" s="3660"/>
      <c r="Z32" s="1304" t="str">
        <f t="shared" si="15"/>
        <v>公共部分装修</v>
      </c>
      <c r="AA32" s="1305">
        <f t="shared" si="3"/>
        <v>1</v>
      </c>
      <c r="AB32" s="1305">
        <f t="shared" si="4"/>
        <v>1</v>
      </c>
      <c r="AC32" s="1305">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60"/>
      <c r="Q33" s="1302" t="str">
        <f t="shared" si="11"/>
        <v>成新度</v>
      </c>
      <c r="R33" s="631" t="s">
        <v>25</v>
      </c>
      <c r="S33" s="632" t="e">
        <f t="shared" si="12"/>
        <v>#N/A</v>
      </c>
      <c r="T33" s="631" t="s">
        <v>25</v>
      </c>
      <c r="U33" s="632" t="e">
        <f t="shared" si="13"/>
        <v>#N/A</v>
      </c>
      <c r="V33" s="631" t="s">
        <v>25</v>
      </c>
      <c r="W33" s="632" t="e">
        <f t="shared" si="14"/>
        <v>#N/A</v>
      </c>
      <c r="X33" s="1303"/>
      <c r="Y33" s="3660"/>
      <c r="Z33" s="1304" t="str">
        <f t="shared" si="15"/>
        <v>成新度</v>
      </c>
      <c r="AA33" s="1305" t="e">
        <f t="shared" si="3"/>
        <v>#N/A</v>
      </c>
      <c r="AB33" s="1305" t="e">
        <f t="shared" si="4"/>
        <v>#N/A</v>
      </c>
      <c r="AC33" s="1305"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60"/>
      <c r="Q34" s="1295" t="str">
        <f t="shared" si="11"/>
        <v>物业管理</v>
      </c>
      <c r="R34" s="627" t="s">
        <v>25</v>
      </c>
      <c r="S34" s="628">
        <f t="shared" si="12"/>
        <v>100</v>
      </c>
      <c r="T34" s="627" t="s">
        <v>25</v>
      </c>
      <c r="U34" s="628">
        <f t="shared" si="13"/>
        <v>100</v>
      </c>
      <c r="V34" s="627" t="s">
        <v>25</v>
      </c>
      <c r="W34" s="628">
        <f t="shared" si="14"/>
        <v>100</v>
      </c>
      <c r="X34" s="629"/>
      <c r="Y34" s="3660"/>
      <c r="Z34" s="19" t="str">
        <f t="shared" si="15"/>
        <v>物业管理</v>
      </c>
      <c r="AA34" s="630">
        <f t="shared" si="3"/>
        <v>1</v>
      </c>
      <c r="AB34" s="630">
        <f t="shared" si="4"/>
        <v>1</v>
      </c>
      <c r="AC34" s="630">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60" t="s">
        <v>2216</v>
      </c>
      <c r="Q35" s="1302" t="str">
        <f t="shared" si="11"/>
        <v>市政基础设施</v>
      </c>
      <c r="R35" s="631" t="s">
        <v>25</v>
      </c>
      <c r="S35" s="632">
        <f t="shared" si="12"/>
        <v>100</v>
      </c>
      <c r="T35" s="631" t="s">
        <v>25</v>
      </c>
      <c r="U35" s="632">
        <f t="shared" si="13"/>
        <v>100</v>
      </c>
      <c r="V35" s="631" t="s">
        <v>25</v>
      </c>
      <c r="W35" s="632">
        <f t="shared" si="14"/>
        <v>100</v>
      </c>
      <c r="X35" s="1303"/>
      <c r="Y35" s="3660" t="s">
        <v>2216</v>
      </c>
      <c r="Z35" s="1304" t="str">
        <f t="shared" si="15"/>
        <v>市政基础设施</v>
      </c>
      <c r="AA35" s="1305">
        <f t="shared" si="3"/>
        <v>1</v>
      </c>
      <c r="AB35" s="1305">
        <f t="shared" si="4"/>
        <v>1</v>
      </c>
      <c r="AC35" s="1305">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60"/>
      <c r="Q36" s="1302" t="str">
        <f t="shared" si="11"/>
        <v>内部装修</v>
      </c>
      <c r="R36" s="631" t="s">
        <v>25</v>
      </c>
      <c r="S36" s="632">
        <f t="shared" si="12"/>
        <v>100</v>
      </c>
      <c r="T36" s="631" t="s">
        <v>25</v>
      </c>
      <c r="U36" s="632">
        <f t="shared" si="13"/>
        <v>100</v>
      </c>
      <c r="V36" s="631" t="s">
        <v>25</v>
      </c>
      <c r="W36" s="632">
        <f t="shared" si="14"/>
        <v>100</v>
      </c>
      <c r="X36" s="1303"/>
      <c r="Y36" s="3660"/>
      <c r="Z36" s="1304" t="str">
        <f t="shared" si="15"/>
        <v>内部装修</v>
      </c>
      <c r="AA36" s="1305">
        <f t="shared" si="3"/>
        <v>1</v>
      </c>
      <c r="AB36" s="1305">
        <f t="shared" si="4"/>
        <v>1</v>
      </c>
      <c r="AC36" s="1305">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60"/>
      <c r="Q37" s="1302" t="str">
        <f t="shared" si="11"/>
        <v>内部装修状况</v>
      </c>
      <c r="R37" s="631" t="s">
        <v>25</v>
      </c>
      <c r="S37" s="632">
        <f t="shared" si="12"/>
        <v>100</v>
      </c>
      <c r="T37" s="631" t="s">
        <v>25</v>
      </c>
      <c r="U37" s="632">
        <f t="shared" si="13"/>
        <v>100</v>
      </c>
      <c r="V37" s="631" t="s">
        <v>25</v>
      </c>
      <c r="W37" s="632">
        <f t="shared" si="14"/>
        <v>100</v>
      </c>
      <c r="X37" s="1303"/>
      <c r="Y37" s="3660"/>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60"/>
      <c r="Q38" s="633">
        <f t="shared" si="11"/>
        <v>111</v>
      </c>
      <c r="R38" s="634" t="s">
        <v>25</v>
      </c>
      <c r="S38" s="635">
        <f t="shared" si="12"/>
        <v>100</v>
      </c>
      <c r="T38" s="634" t="s">
        <v>25</v>
      </c>
      <c r="U38" s="635">
        <f t="shared" si="13"/>
        <v>100</v>
      </c>
      <c r="V38" s="634" t="s">
        <v>25</v>
      </c>
      <c r="W38" s="635">
        <f t="shared" si="14"/>
        <v>100</v>
      </c>
      <c r="X38" s="636"/>
      <c r="Y38" s="3660"/>
      <c r="Z38" s="637">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60"/>
      <c r="Q39" s="1302">
        <f t="shared" si="11"/>
        <v>111</v>
      </c>
      <c r="R39" s="631" t="s">
        <v>25</v>
      </c>
      <c r="S39" s="632">
        <f t="shared" si="12"/>
        <v>100</v>
      </c>
      <c r="T39" s="631" t="s">
        <v>25</v>
      </c>
      <c r="U39" s="632">
        <f t="shared" si="13"/>
        <v>100</v>
      </c>
      <c r="V39" s="631" t="s">
        <v>25</v>
      </c>
      <c r="W39" s="632">
        <f t="shared" si="14"/>
        <v>100</v>
      </c>
      <c r="X39" s="1303"/>
      <c r="Y39" s="3660"/>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61"/>
      <c r="Q40" s="1302">
        <f t="shared" si="11"/>
        <v>111</v>
      </c>
      <c r="R40" s="631" t="s">
        <v>25</v>
      </c>
      <c r="S40" s="632">
        <f t="shared" si="12"/>
        <v>100</v>
      </c>
      <c r="T40" s="631" t="s">
        <v>25</v>
      </c>
      <c r="U40" s="632">
        <f t="shared" si="13"/>
        <v>100</v>
      </c>
      <c r="V40" s="631" t="s">
        <v>25</v>
      </c>
      <c r="W40" s="632">
        <f t="shared" si="14"/>
        <v>100</v>
      </c>
      <c r="X40" s="1303"/>
      <c r="Y40" s="3661"/>
      <c r="Z40" s="1304">
        <f t="shared" si="15"/>
        <v>111</v>
      </c>
      <c r="AA40" s="1305">
        <f t="shared" si="3"/>
        <v>1</v>
      </c>
      <c r="AB40" s="1305">
        <f t="shared" si="4"/>
        <v>1</v>
      </c>
      <c r="AC40" s="1305">
        <f t="shared" si="5"/>
        <v>1</v>
      </c>
    </row>
    <row r="41" spans="1:29" ht="15">
      <c r="A41" s="367" t="s">
        <v>2228</v>
      </c>
      <c r="B41" s="368"/>
      <c r="C41" s="1122" t="s">
        <v>1</v>
      </c>
      <c r="D41" s="1123"/>
      <c r="E41" s="1124"/>
      <c r="F41" s="1125"/>
      <c r="G41" s="1126"/>
      <c r="H41" s="1127"/>
      <c r="I41" s="1124"/>
      <c r="J41" s="1127"/>
      <c r="K41" s="640"/>
      <c r="L41" s="3004"/>
      <c r="N41" s="2993"/>
      <c r="P41" s="3654" t="str">
        <f>A41</f>
        <v>成交单价（元/平方米）</v>
      </c>
      <c r="Q41" s="3654"/>
      <c r="R41" s="3655">
        <f>E41</f>
        <v>0</v>
      </c>
      <c r="S41" s="3655"/>
      <c r="T41" s="3655">
        <f>G41</f>
        <v>0</v>
      </c>
      <c r="U41" s="3655"/>
      <c r="V41" s="3655">
        <f>I41</f>
        <v>0</v>
      </c>
      <c r="W41" s="3655"/>
      <c r="X41" s="618"/>
      <c r="Y41" s="638"/>
      <c r="Z41" s="618"/>
      <c r="AA41" s="618"/>
      <c r="AB41" s="618"/>
      <c r="AC41" s="618"/>
    </row>
    <row r="42" spans="1:29" ht="15.75" thickBot="1">
      <c r="A42" s="374" t="s">
        <v>2311</v>
      </c>
      <c r="B42" s="375"/>
      <c r="C42" s="1128" t="e">
        <f>R43</f>
        <v>#DIV/0!</v>
      </c>
      <c r="D42" s="1765" t="s">
        <v>2683</v>
      </c>
      <c r="E42" s="1129" t="e">
        <f>R42</f>
        <v>#DIV/0!</v>
      </c>
      <c r="F42" s="1767"/>
      <c r="G42" s="1128" t="e">
        <f>T42</f>
        <v>#DIV/0!</v>
      </c>
      <c r="H42" s="1767"/>
      <c r="I42" s="1129" t="e">
        <f>V42</f>
        <v>#DIV/0!</v>
      </c>
      <c r="J42" s="1767"/>
      <c r="K42" s="2479">
        <f>F42+H42+J42</f>
        <v>0</v>
      </c>
      <c r="L42" s="3004"/>
      <c r="N42" s="2993"/>
      <c r="P42" s="3654" t="str">
        <f>A42</f>
        <v>比较价值（元/平方米）</v>
      </c>
      <c r="Q42" s="3654"/>
      <c r="R42" s="3655" t="e">
        <f>IF(E1="售价",ROUND(PRODUCT(R41,AA7:AA40),0),ROUND(PRODUCT(R41,AA7:AA40),1))</f>
        <v>#DIV/0!</v>
      </c>
      <c r="S42" s="3655"/>
      <c r="T42" s="3655" t="e">
        <f>IF(E1="售价",ROUND(PRODUCT(T41,AB7:AB40),0),ROUND(PRODUCT(T41,AB7:AB40),1))</f>
        <v>#DIV/0!</v>
      </c>
      <c r="U42" s="3655"/>
      <c r="V42" s="3655" t="e">
        <f>IF(E1="售价",ROUND(PRODUCT(V41,AC7:AC40),0),ROUND(PRODUCT(V41,AC7:AC40),1))</f>
        <v>#DIV/0!</v>
      </c>
      <c r="W42" s="3655"/>
      <c r="X42" s="618"/>
      <c r="Y42" s="618"/>
      <c r="Z42" s="618"/>
      <c r="AA42" s="618"/>
      <c r="AB42" s="618"/>
      <c r="AC42" s="618"/>
    </row>
    <row r="43" spans="1:29" ht="15.75" thickBot="1">
      <c r="A43" s="378" t="s">
        <v>2334</v>
      </c>
      <c r="B43" s="379"/>
      <c r="C43" s="1130" t="e">
        <f>R43</f>
        <v>#DIV/0!</v>
      </c>
      <c r="D43" s="1130"/>
      <c r="E43" s="1130"/>
      <c r="F43" s="1130"/>
      <c r="G43" s="1130"/>
      <c r="H43" s="1130"/>
      <c r="I43" s="1130"/>
      <c r="J43" s="1130"/>
      <c r="K43" s="641"/>
      <c r="L43" s="3004"/>
      <c r="P43" s="3656" t="str">
        <f>A43</f>
        <v>估价对象XX用房的比较价值（楼面单价，元/平方米）</v>
      </c>
      <c r="Q43" s="3657"/>
      <c r="R43" s="3658" t="e">
        <f>IF(E1="售价",ROUND(IF(D42="简单平均",AVERAGE(R42:V42),R42*F42+T42*H42+V42*J42),0),ROUND(IF(D42="简单平均",AVERAGE(R42:V42),R42*F42+T42*H42+V42*J42),1))</f>
        <v>#DIV/0!</v>
      </c>
      <c r="S43" s="3658"/>
      <c r="T43" s="3658"/>
      <c r="U43" s="3658"/>
      <c r="V43" s="3658"/>
      <c r="W43" s="3658"/>
      <c r="X43" s="618"/>
      <c r="Y43" s="618"/>
      <c r="Z43" s="618"/>
      <c r="AA43" s="618"/>
      <c r="AB43" s="618"/>
      <c r="AC43" s="618"/>
    </row>
    <row r="44" spans="1:29">
      <c r="G44" s="3007"/>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2316</v>
      </c>
      <c r="B51" s="618"/>
      <c r="C51" s="621"/>
      <c r="D51" s="621"/>
      <c r="E51" s="621"/>
      <c r="F51" s="622"/>
      <c r="G51" s="622"/>
      <c r="H51" s="621"/>
      <c r="I51" s="621"/>
      <c r="J51" s="621"/>
      <c r="K51" s="623"/>
      <c r="L51" s="624"/>
      <c r="M51" s="621"/>
      <c r="N51" s="3010"/>
      <c r="O51" s="3010"/>
      <c r="P51" s="389"/>
      <c r="Q51" s="390"/>
    </row>
    <row r="52" spans="1:17" s="394" customFormat="1" ht="15">
      <c r="A52" s="391" t="s">
        <v>2198</v>
      </c>
      <c r="B52" s="392"/>
      <c r="C52" s="1156" t="str">
        <f>YEAR(C7)&amp;"-"&amp;MONTH(C7)</f>
        <v>2022-3</v>
      </c>
      <c r="D52" s="1157">
        <f>EDATE(C52,-1)</f>
        <v>44593</v>
      </c>
      <c r="E52" s="1158">
        <f t="shared" ref="E52:O52" si="16">EDATE(D52,-1)</f>
        <v>44562</v>
      </c>
      <c r="F52" s="1158">
        <f t="shared" si="16"/>
        <v>44531</v>
      </c>
      <c r="G52" s="1158">
        <f t="shared" si="16"/>
        <v>44501</v>
      </c>
      <c r="H52" s="1158">
        <f t="shared" si="16"/>
        <v>44470</v>
      </c>
      <c r="I52" s="1158">
        <f t="shared" si="16"/>
        <v>44440</v>
      </c>
      <c r="J52" s="1158">
        <f t="shared" si="16"/>
        <v>44409</v>
      </c>
      <c r="K52" s="1158">
        <f t="shared" si="16"/>
        <v>44378</v>
      </c>
      <c r="L52" s="1158">
        <f t="shared" si="16"/>
        <v>44348</v>
      </c>
      <c r="M52" s="1158">
        <f t="shared" si="16"/>
        <v>44317</v>
      </c>
      <c r="N52" s="1158">
        <f t="shared" si="16"/>
        <v>44287</v>
      </c>
      <c r="O52" s="1158">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50"/>
      <c r="C1" s="1190"/>
      <c r="D1" s="1191"/>
      <c r="E1" s="1527"/>
      <c r="F1" s="1192" t="s">
        <v>2183</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IF(D2="——",IF(B37="元/平方米",IF(C2="元",ROUND(C39*D3,0),ROUND(C39*D3/10000,0)),IF(C2="元",ROUND(F3*C39,0),ROUND(F3*C39/10000,0))),IF(B37="元/平方米",IF(C2="元",ROUND(C39*D3,0),ROUND(C39*D3/10000,0)),IF(C2="元",ROUND(F3*C39,0),ROUND(F3*C39/10000,0)))-E2)</f>
        <v>#DIV/0!</v>
      </c>
      <c r="C2" s="79" t="str">
        <f>'数据-取费表'!B3</f>
        <v>元</v>
      </c>
      <c r="D2" s="1528"/>
      <c r="E2" s="925" t="e">
        <f ca="1">SUMIF(INDIRECT("'"&amp;G2&amp;"'"&amp;"!A:A"),"承租人权益价值",INDIRECT("'"&amp;G2&amp;"'"&amp;"!c:c"))</f>
        <v>#REF!</v>
      </c>
      <c r="F2" s="1529" t="str">
        <f>C2</f>
        <v>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2184</v>
      </c>
      <c r="D3" s="292">
        <f>IF(C1="仅计算典型户型",'数据-取费表'!E5,'数据-取费表'!B5)</f>
        <v>259.41000000000003</v>
      </c>
      <c r="E3" s="839" t="s">
        <v>2346</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77" t="s">
        <v>2186</v>
      </c>
      <c r="D4" s="3678"/>
      <c r="E4" s="3679" t="s">
        <v>2187</v>
      </c>
      <c r="F4" s="3680"/>
      <c r="G4" s="3677" t="s">
        <v>2188</v>
      </c>
      <c r="H4" s="3678"/>
      <c r="I4" s="3677" t="s">
        <v>2189</v>
      </c>
      <c r="J4" s="3678"/>
      <c r="K4" s="496" t="s">
        <v>2190</v>
      </c>
      <c r="L4" s="2992"/>
      <c r="M4" s="2993"/>
      <c r="N4" s="2993"/>
      <c r="O4" s="2993"/>
      <c r="P4" s="3681" t="s">
        <v>2191</v>
      </c>
      <c r="Q4" s="3682"/>
      <c r="R4" s="3664" t="s">
        <v>2187</v>
      </c>
      <c r="S4" s="3665"/>
      <c r="T4" s="3664" t="s">
        <v>2188</v>
      </c>
      <c r="U4" s="3665"/>
      <c r="V4" s="3687" t="s">
        <v>2189</v>
      </c>
      <c r="W4" s="3687"/>
      <c r="X4" s="1303"/>
      <c r="Y4" s="3664" t="s">
        <v>2191</v>
      </c>
      <c r="Z4" s="3665"/>
      <c r="AA4" s="3674" t="s">
        <v>2187</v>
      </c>
      <c r="AB4" s="3675" t="s">
        <v>2188</v>
      </c>
      <c r="AC4" s="3674" t="s">
        <v>2189</v>
      </c>
    </row>
    <row r="5" spans="1:29" ht="15">
      <c r="A5" s="297"/>
      <c r="B5" s="298"/>
      <c r="C5" s="3690" t="s">
        <v>2192</v>
      </c>
      <c r="D5" s="3691"/>
      <c r="E5" s="3688" t="s">
        <v>2193</v>
      </c>
      <c r="F5" s="3689"/>
      <c r="G5" s="3690" t="s">
        <v>2194</v>
      </c>
      <c r="H5" s="3691"/>
      <c r="I5" s="3690" t="s">
        <v>2195</v>
      </c>
      <c r="J5" s="3691"/>
      <c r="K5" s="496"/>
      <c r="L5" s="2992"/>
      <c r="M5" s="2993"/>
      <c r="N5" s="2993"/>
      <c r="O5" s="2993"/>
      <c r="P5" s="3683"/>
      <c r="Q5" s="3684"/>
      <c r="R5" s="3666"/>
      <c r="S5" s="3667"/>
      <c r="T5" s="3666"/>
      <c r="U5" s="3667"/>
      <c r="V5" s="3687"/>
      <c r="W5" s="3687"/>
      <c r="X5" s="1303"/>
      <c r="Y5" s="3666"/>
      <c r="Z5" s="3667"/>
      <c r="AA5" s="3675"/>
      <c r="AB5" s="3675"/>
      <c r="AC5" s="3675"/>
    </row>
    <row r="6" spans="1:29" ht="15.75" thickBot="1">
      <c r="A6" s="299"/>
      <c r="B6" s="300"/>
      <c r="C6" s="3692" t="s">
        <v>2196</v>
      </c>
      <c r="D6" s="3693"/>
      <c r="E6" s="3694" t="s">
        <v>2196</v>
      </c>
      <c r="F6" s="3695"/>
      <c r="G6" s="3692" t="s">
        <v>2196</v>
      </c>
      <c r="H6" s="3693"/>
      <c r="I6" s="3692" t="s">
        <v>2196</v>
      </c>
      <c r="J6" s="3693"/>
      <c r="K6" s="496" t="s">
        <v>2197</v>
      </c>
      <c r="L6" s="2992"/>
      <c r="M6" s="2993"/>
      <c r="N6" s="2993"/>
      <c r="O6" s="2993"/>
      <c r="P6" s="3685"/>
      <c r="Q6" s="3686"/>
      <c r="R6" s="3666"/>
      <c r="S6" s="3667"/>
      <c r="T6" s="3668"/>
      <c r="U6" s="3669"/>
      <c r="V6" s="3687"/>
      <c r="W6" s="3687"/>
      <c r="X6" s="1303"/>
      <c r="Y6" s="3668"/>
      <c r="Z6" s="3669"/>
      <c r="AA6" s="3676"/>
      <c r="AB6" s="3676"/>
      <c r="AC6" s="3676"/>
    </row>
    <row r="7" spans="1:29" s="25" customFormat="1" ht="15.75" thickBot="1">
      <c r="A7" s="301" t="s">
        <v>2198</v>
      </c>
      <c r="B7" s="302"/>
      <c r="C7" s="303">
        <f>'数据-取费表'!B2</f>
        <v>44636</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62" t="s">
        <v>2199</v>
      </c>
      <c r="Q7" s="3670"/>
      <c r="R7" s="627" t="s">
        <v>25</v>
      </c>
      <c r="S7" s="628">
        <f t="shared" ref="S7:S14" si="0">F7</f>
        <v>0</v>
      </c>
      <c r="T7" s="627" t="s">
        <v>25</v>
      </c>
      <c r="U7" s="628">
        <f t="shared" ref="U7:U14" si="1">H7</f>
        <v>0</v>
      </c>
      <c r="V7" s="627" t="s">
        <v>25</v>
      </c>
      <c r="W7" s="628">
        <f t="shared" ref="W7:W14" si="2">J7</f>
        <v>0</v>
      </c>
      <c r="X7" s="629"/>
      <c r="Y7" s="3662" t="s">
        <v>2199</v>
      </c>
      <c r="Z7" s="3663"/>
      <c r="AA7" s="630" t="e">
        <f>D7/F7</f>
        <v>#DIV/0!</v>
      </c>
      <c r="AB7" s="630" t="e">
        <f>D7/H7</f>
        <v>#DIV/0!</v>
      </c>
      <c r="AC7" s="630"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62" t="s">
        <v>2202</v>
      </c>
      <c r="Q8" s="3663"/>
      <c r="R8" s="627" t="s">
        <v>25</v>
      </c>
      <c r="S8" s="628">
        <f t="shared" si="0"/>
        <v>0</v>
      </c>
      <c r="T8" s="627" t="s">
        <v>25</v>
      </c>
      <c r="U8" s="628">
        <f t="shared" si="1"/>
        <v>0</v>
      </c>
      <c r="V8" s="627" t="s">
        <v>25</v>
      </c>
      <c r="W8" s="628">
        <f t="shared" si="2"/>
        <v>0</v>
      </c>
      <c r="X8" s="629"/>
      <c r="Y8" s="3662" t="s">
        <v>2202</v>
      </c>
      <c r="Z8" s="3663"/>
      <c r="AA8" s="630" t="e">
        <f t="shared" ref="AA8:AA36" si="3">D8/F8</f>
        <v>#DIV/0!</v>
      </c>
      <c r="AB8" s="630" t="e">
        <f t="shared" ref="AB8:AB36" si="4">D8/H8</f>
        <v>#DIV/0!</v>
      </c>
      <c r="AC8" s="630"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4" t="s">
        <v>2205</v>
      </c>
      <c r="Q9" s="1295" t="str">
        <f t="shared" ref="Q9:Q14" si="6">B9</f>
        <v>用途</v>
      </c>
      <c r="R9" s="627" t="s">
        <v>25</v>
      </c>
      <c r="S9" s="628">
        <f t="shared" si="0"/>
        <v>100</v>
      </c>
      <c r="T9" s="627" t="s">
        <v>25</v>
      </c>
      <c r="U9" s="628">
        <f t="shared" si="1"/>
        <v>100</v>
      </c>
      <c r="V9" s="627" t="s">
        <v>25</v>
      </c>
      <c r="W9" s="628">
        <f t="shared" si="2"/>
        <v>100</v>
      </c>
      <c r="X9" s="629"/>
      <c r="Y9" s="3673" t="s">
        <v>2206</v>
      </c>
      <c r="Z9" s="19" t="str">
        <f t="shared" ref="Z9:Z14" si="7">Q9</f>
        <v>用途</v>
      </c>
      <c r="AA9" s="630">
        <f t="shared" si="3"/>
        <v>1</v>
      </c>
      <c r="AB9" s="630">
        <f t="shared" si="4"/>
        <v>1</v>
      </c>
      <c r="AC9" s="630">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4"/>
      <c r="Q10" s="129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4"/>
      <c r="Q11" s="129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4"/>
      <c r="Q12" s="129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4"/>
      <c r="Q13" s="129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294" t="s">
        <v>2209</v>
      </c>
      <c r="B14" s="511" t="s">
        <v>2347</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71" t="s">
        <v>2210</v>
      </c>
      <c r="Q14" s="1302" t="str">
        <f t="shared" si="6"/>
        <v>交通便捷度</v>
      </c>
      <c r="R14" s="631" t="s">
        <v>25</v>
      </c>
      <c r="S14" s="632">
        <f t="shared" si="0"/>
        <v>100</v>
      </c>
      <c r="T14" s="631" t="s">
        <v>25</v>
      </c>
      <c r="U14" s="632">
        <f t="shared" si="1"/>
        <v>100</v>
      </c>
      <c r="V14" s="631" t="s">
        <v>25</v>
      </c>
      <c r="W14" s="632">
        <f t="shared" si="2"/>
        <v>100</v>
      </c>
      <c r="X14" s="1303"/>
      <c r="Y14" s="3671" t="s">
        <v>2210</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672"/>
      <c r="Q15" s="1302"/>
      <c r="R15" s="631"/>
      <c r="S15" s="632"/>
      <c r="T15" s="631"/>
      <c r="U15" s="632"/>
      <c r="V15" s="631"/>
      <c r="W15" s="632"/>
      <c r="X15" s="1303"/>
      <c r="Y15" s="3672"/>
      <c r="Z15" s="1304"/>
      <c r="AA15" s="1305">
        <v>1</v>
      </c>
      <c r="AB15" s="1305">
        <v>1</v>
      </c>
      <c r="AC15" s="1305">
        <v>1</v>
      </c>
    </row>
    <row r="16" spans="1:29" ht="42.75">
      <c r="A16" s="297"/>
      <c r="B16" s="513" t="s">
        <v>2325</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72"/>
      <c r="Q16" s="1302" t="str">
        <f>B16</f>
        <v>公共配套设施</v>
      </c>
      <c r="R16" s="631" t="s">
        <v>25</v>
      </c>
      <c r="S16" s="632">
        <f>F16</f>
        <v>100</v>
      </c>
      <c r="T16" s="631" t="s">
        <v>25</v>
      </c>
      <c r="U16" s="632">
        <f>H16</f>
        <v>100</v>
      </c>
      <c r="V16" s="631" t="s">
        <v>25</v>
      </c>
      <c r="W16" s="632">
        <f>J16</f>
        <v>100</v>
      </c>
      <c r="X16" s="1303"/>
      <c r="Y16" s="3672"/>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672"/>
      <c r="Q17" s="1302"/>
      <c r="R17" s="631"/>
      <c r="S17" s="632"/>
      <c r="T17" s="631"/>
      <c r="U17" s="632"/>
      <c r="V17" s="631"/>
      <c r="W17" s="632"/>
      <c r="X17" s="1303"/>
      <c r="Y17" s="3672"/>
      <c r="Z17" s="1304"/>
      <c r="AA17" s="1305">
        <v>1</v>
      </c>
      <c r="AB17" s="1305">
        <v>1</v>
      </c>
      <c r="AC17" s="1305">
        <v>1</v>
      </c>
    </row>
    <row r="18" spans="1:29" ht="28.5">
      <c r="A18" s="297"/>
      <c r="B18" s="515" t="s">
        <v>2326</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72"/>
      <c r="Q18" s="1302" t="str">
        <f>B18</f>
        <v>基础设施水平</v>
      </c>
      <c r="R18" s="631" t="s">
        <v>25</v>
      </c>
      <c r="S18" s="632">
        <f>F18</f>
        <v>100</v>
      </c>
      <c r="T18" s="631" t="s">
        <v>25</v>
      </c>
      <c r="U18" s="632">
        <f>H18</f>
        <v>100</v>
      </c>
      <c r="V18" s="631" t="s">
        <v>25</v>
      </c>
      <c r="W18" s="632">
        <f>J18</f>
        <v>100</v>
      </c>
      <c r="X18" s="1303"/>
      <c r="Y18" s="3672"/>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672"/>
      <c r="Q19" s="1302"/>
      <c r="R19" s="631"/>
      <c r="S19" s="632"/>
      <c r="T19" s="631"/>
      <c r="U19" s="632"/>
      <c r="V19" s="631"/>
      <c r="W19" s="632"/>
      <c r="X19" s="1303"/>
      <c r="Y19" s="3672"/>
      <c r="Z19" s="1304"/>
      <c r="AA19" s="1305">
        <v>1</v>
      </c>
      <c r="AB19" s="1305">
        <v>1</v>
      </c>
      <c r="AC19" s="1305">
        <v>1</v>
      </c>
    </row>
    <row r="20" spans="1:29" ht="57">
      <c r="A20" s="297"/>
      <c r="B20" s="513" t="s">
        <v>2348</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72"/>
      <c r="Q20" s="1302" t="str">
        <f>B20</f>
        <v>自然及人文环境</v>
      </c>
      <c r="R20" s="631" t="s">
        <v>25</v>
      </c>
      <c r="S20" s="632">
        <f>F20</f>
        <v>100</v>
      </c>
      <c r="T20" s="631" t="s">
        <v>25</v>
      </c>
      <c r="U20" s="632">
        <f>H20</f>
        <v>100</v>
      </c>
      <c r="V20" s="631" t="s">
        <v>25</v>
      </c>
      <c r="W20" s="632">
        <f>J20</f>
        <v>100</v>
      </c>
      <c r="X20" s="1303"/>
      <c r="Y20" s="3672"/>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672"/>
      <c r="Q21" s="1302"/>
      <c r="R21" s="631"/>
      <c r="S21" s="632"/>
      <c r="T21" s="631"/>
      <c r="U21" s="632"/>
      <c r="V21" s="631"/>
      <c r="W21" s="632"/>
      <c r="X21" s="1303"/>
      <c r="Y21" s="3672"/>
      <c r="Z21" s="1304"/>
      <c r="AA21" s="1305">
        <v>1</v>
      </c>
      <c r="AB21" s="1305">
        <v>1</v>
      </c>
      <c r="AC21" s="1305">
        <v>1</v>
      </c>
    </row>
    <row r="22" spans="1:29" ht="15">
      <c r="A22" s="297"/>
      <c r="B22" s="513" t="s">
        <v>2349</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72"/>
      <c r="Q22" s="1302" t="str">
        <f>B22</f>
        <v>楼层</v>
      </c>
      <c r="R22" s="631" t="s">
        <v>25</v>
      </c>
      <c r="S22" s="632">
        <f>F22</f>
        <v>100</v>
      </c>
      <c r="T22" s="631" t="s">
        <v>25</v>
      </c>
      <c r="U22" s="632">
        <f>H22</f>
        <v>100</v>
      </c>
      <c r="V22" s="631" t="s">
        <v>25</v>
      </c>
      <c r="W22" s="632">
        <f>J22</f>
        <v>100</v>
      </c>
      <c r="X22" s="1303"/>
      <c r="Y22" s="3672"/>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672"/>
      <c r="Q23" s="1302">
        <f>B23</f>
        <v>111</v>
      </c>
      <c r="R23" s="631" t="s">
        <v>25</v>
      </c>
      <c r="S23" s="632">
        <f>F23</f>
        <v>100</v>
      </c>
      <c r="T23" s="631" t="s">
        <v>25</v>
      </c>
      <c r="U23" s="632">
        <f>H23</f>
        <v>100</v>
      </c>
      <c r="V23" s="631" t="s">
        <v>25</v>
      </c>
      <c r="W23" s="632">
        <f>J23</f>
        <v>100</v>
      </c>
      <c r="X23" s="1303"/>
      <c r="Y23" s="3672"/>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672"/>
      <c r="Q24" s="1302">
        <f t="shared" ref="Q24:Q36" si="11">B24</f>
        <v>111</v>
      </c>
      <c r="R24" s="631" t="s">
        <v>25</v>
      </c>
      <c r="S24" s="632">
        <f>F24</f>
        <v>100</v>
      </c>
      <c r="T24" s="631" t="s">
        <v>25</v>
      </c>
      <c r="U24" s="632">
        <f>H24</f>
        <v>100</v>
      </c>
      <c r="V24" s="631" t="s">
        <v>25</v>
      </c>
      <c r="W24" s="632">
        <f>J24</f>
        <v>100</v>
      </c>
      <c r="X24" s="1303"/>
      <c r="Y24" s="3672"/>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72"/>
      <c r="Q25" s="1295">
        <f t="shared" si="11"/>
        <v>111</v>
      </c>
      <c r="R25" s="627" t="s">
        <v>25</v>
      </c>
      <c r="S25" s="628">
        <f>F25</f>
        <v>100</v>
      </c>
      <c r="T25" s="627" t="s">
        <v>25</v>
      </c>
      <c r="U25" s="628">
        <f>H25</f>
        <v>100</v>
      </c>
      <c r="V25" s="627" t="s">
        <v>25</v>
      </c>
      <c r="W25" s="628">
        <f>J25</f>
        <v>100</v>
      </c>
      <c r="X25" s="629"/>
      <c r="Y25" s="3672"/>
      <c r="Z25" s="19">
        <f>Q25</f>
        <v>111</v>
      </c>
      <c r="AA25" s="1305">
        <f>D25/F25</f>
        <v>1</v>
      </c>
      <c r="AB25" s="1305">
        <f>D25/H25</f>
        <v>1</v>
      </c>
      <c r="AC25" s="1305">
        <f>D25/J25</f>
        <v>1</v>
      </c>
    </row>
    <row r="26" spans="1:29" ht="28.5">
      <c r="A26" s="533" t="s">
        <v>2214</v>
      </c>
      <c r="B26" s="23" t="s">
        <v>2350</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59" t="s">
        <v>2216</v>
      </c>
      <c r="Q26" s="1302" t="str">
        <f t="shared" si="11"/>
        <v>配套类型</v>
      </c>
      <c r="R26" s="631" t="s">
        <v>25</v>
      </c>
      <c r="S26" s="632">
        <f t="shared" ref="S26:S36" si="12">F26</f>
        <v>100</v>
      </c>
      <c r="T26" s="631" t="s">
        <v>25</v>
      </c>
      <c r="U26" s="632">
        <f t="shared" ref="U26:U36" si="13">H26</f>
        <v>100</v>
      </c>
      <c r="V26" s="631" t="s">
        <v>25</v>
      </c>
      <c r="W26" s="632">
        <f t="shared" ref="W26:W36" si="14">J26</f>
        <v>100</v>
      </c>
      <c r="X26" s="1303"/>
      <c r="Y26" s="3660" t="s">
        <v>2216</v>
      </c>
      <c r="Z26" s="1304" t="str">
        <f t="shared" ref="Z26:Z36" si="15">Q26</f>
        <v>配套类型</v>
      </c>
      <c r="AA26" s="1305">
        <f t="shared" si="3"/>
        <v>1</v>
      </c>
      <c r="AB26" s="1305">
        <f t="shared" si="4"/>
        <v>1</v>
      </c>
      <c r="AC26" s="1305">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60"/>
      <c r="Q27" s="633" t="str">
        <f t="shared" si="11"/>
        <v>项目停车位配比</v>
      </c>
      <c r="R27" s="634" t="s">
        <v>25</v>
      </c>
      <c r="S27" s="635">
        <f t="shared" si="12"/>
        <v>100</v>
      </c>
      <c r="T27" s="634" t="s">
        <v>25</v>
      </c>
      <c r="U27" s="635">
        <f t="shared" si="13"/>
        <v>100</v>
      </c>
      <c r="V27" s="634" t="s">
        <v>25</v>
      </c>
      <c r="W27" s="635">
        <f t="shared" si="14"/>
        <v>100</v>
      </c>
      <c r="X27" s="636"/>
      <c r="Y27" s="3660"/>
      <c r="Z27" s="637" t="str">
        <f t="shared" si="15"/>
        <v>项目停车位配比</v>
      </c>
      <c r="AA27" s="1305">
        <f t="shared" si="3"/>
        <v>1</v>
      </c>
      <c r="AB27" s="1305">
        <f t="shared" si="4"/>
        <v>1</v>
      </c>
      <c r="AC27" s="1305">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60"/>
      <c r="Q28" s="1302" t="str">
        <f t="shared" si="11"/>
        <v>公共部分装修</v>
      </c>
      <c r="R28" s="631" t="s">
        <v>25</v>
      </c>
      <c r="S28" s="632">
        <f t="shared" si="12"/>
        <v>100</v>
      </c>
      <c r="T28" s="631" t="s">
        <v>25</v>
      </c>
      <c r="U28" s="632">
        <f t="shared" si="13"/>
        <v>100</v>
      </c>
      <c r="V28" s="631" t="s">
        <v>25</v>
      </c>
      <c r="W28" s="632">
        <f t="shared" si="14"/>
        <v>100</v>
      </c>
      <c r="X28" s="1303"/>
      <c r="Y28" s="3660"/>
      <c r="Z28" s="1304" t="str">
        <f t="shared" si="15"/>
        <v>公共部分装修</v>
      </c>
      <c r="AA28" s="1305">
        <f t="shared" si="3"/>
        <v>1</v>
      </c>
      <c r="AB28" s="1305">
        <f t="shared" si="4"/>
        <v>1</v>
      </c>
      <c r="AC28" s="1305">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60"/>
      <c r="Q29" s="1302" t="str">
        <f t="shared" si="11"/>
        <v>成新率</v>
      </c>
      <c r="R29" s="631" t="s">
        <v>25</v>
      </c>
      <c r="S29" s="632" t="e">
        <f t="shared" si="12"/>
        <v>#N/A</v>
      </c>
      <c r="T29" s="631" t="s">
        <v>25</v>
      </c>
      <c r="U29" s="632" t="e">
        <f t="shared" si="13"/>
        <v>#N/A</v>
      </c>
      <c r="V29" s="631" t="s">
        <v>25</v>
      </c>
      <c r="W29" s="632" t="e">
        <f t="shared" si="14"/>
        <v>#N/A</v>
      </c>
      <c r="X29" s="1303"/>
      <c r="Y29" s="3660"/>
      <c r="Z29" s="1304" t="str">
        <f t="shared" si="15"/>
        <v>成新率</v>
      </c>
      <c r="AA29" s="1305" t="e">
        <f t="shared" si="3"/>
        <v>#N/A</v>
      </c>
      <c r="AB29" s="1305" t="e">
        <f t="shared" si="4"/>
        <v>#N/A</v>
      </c>
      <c r="AC29" s="1305"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60"/>
      <c r="Q30" s="1302" t="str">
        <f t="shared" si="11"/>
        <v>物业等级</v>
      </c>
      <c r="R30" s="631" t="s">
        <v>25</v>
      </c>
      <c r="S30" s="632">
        <f t="shared" si="12"/>
        <v>100</v>
      </c>
      <c r="T30" s="631" t="s">
        <v>25</v>
      </c>
      <c r="U30" s="632">
        <f t="shared" si="13"/>
        <v>100</v>
      </c>
      <c r="V30" s="631" t="s">
        <v>25</v>
      </c>
      <c r="W30" s="632">
        <f t="shared" si="14"/>
        <v>100</v>
      </c>
      <c r="X30" s="1303"/>
      <c r="Y30" s="3660"/>
      <c r="Z30" s="1304" t="str">
        <f t="shared" si="15"/>
        <v>物业等级</v>
      </c>
      <c r="AA30" s="1305">
        <f t="shared" si="3"/>
        <v>1</v>
      </c>
      <c r="AB30" s="1305">
        <f t="shared" si="4"/>
        <v>1</v>
      </c>
      <c r="AC30" s="1305">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60"/>
      <c r="Q31" s="1295" t="str">
        <f t="shared" si="11"/>
        <v>停车位面积</v>
      </c>
      <c r="R31" s="627" t="s">
        <v>25</v>
      </c>
      <c r="S31" s="628" t="e">
        <f t="shared" si="12"/>
        <v>#N/A</v>
      </c>
      <c r="T31" s="627" t="s">
        <v>25</v>
      </c>
      <c r="U31" s="628" t="e">
        <f t="shared" si="13"/>
        <v>#N/A</v>
      </c>
      <c r="V31" s="627" t="s">
        <v>25</v>
      </c>
      <c r="W31" s="628" t="e">
        <f t="shared" si="14"/>
        <v>#N/A</v>
      </c>
      <c r="X31" s="629"/>
      <c r="Y31" s="3660"/>
      <c r="Z31" s="19" t="str">
        <f t="shared" si="15"/>
        <v>停车位面积</v>
      </c>
      <c r="AA31" s="630" t="e">
        <f t="shared" si="3"/>
        <v>#N/A</v>
      </c>
      <c r="AB31" s="630" t="e">
        <f t="shared" si="4"/>
        <v>#N/A</v>
      </c>
      <c r="AC31" s="630"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60" t="s">
        <v>2216</v>
      </c>
      <c r="Q32" s="1302" t="str">
        <f t="shared" si="11"/>
        <v>车位类型</v>
      </c>
      <c r="R32" s="631" t="s">
        <v>25</v>
      </c>
      <c r="S32" s="632">
        <f t="shared" si="12"/>
        <v>100</v>
      </c>
      <c r="T32" s="631" t="s">
        <v>25</v>
      </c>
      <c r="U32" s="632">
        <f t="shared" si="13"/>
        <v>100</v>
      </c>
      <c r="V32" s="631" t="s">
        <v>25</v>
      </c>
      <c r="W32" s="632">
        <f t="shared" si="14"/>
        <v>100</v>
      </c>
      <c r="X32" s="1303"/>
      <c r="Y32" s="3660" t="s">
        <v>2216</v>
      </c>
      <c r="Z32" s="1304" t="str">
        <f t="shared" si="15"/>
        <v>车位类型</v>
      </c>
      <c r="AA32" s="1305">
        <f t="shared" si="3"/>
        <v>1</v>
      </c>
      <c r="AB32" s="1305">
        <f t="shared" si="4"/>
        <v>1</v>
      </c>
      <c r="AC32" s="1305">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60"/>
      <c r="Q33" s="1302" t="str">
        <f t="shared" si="11"/>
        <v>是否直接入户</v>
      </c>
      <c r="R33" s="631" t="s">
        <v>25</v>
      </c>
      <c r="S33" s="632">
        <f t="shared" si="12"/>
        <v>100</v>
      </c>
      <c r="T33" s="631" t="s">
        <v>25</v>
      </c>
      <c r="U33" s="632">
        <f t="shared" si="13"/>
        <v>100</v>
      </c>
      <c r="V33" s="631" t="s">
        <v>25</v>
      </c>
      <c r="W33" s="632">
        <f t="shared" si="14"/>
        <v>100</v>
      </c>
      <c r="X33" s="1303"/>
      <c r="Y33" s="3660"/>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60"/>
      <c r="Q34" s="1302">
        <f t="shared" si="11"/>
        <v>111</v>
      </c>
      <c r="R34" s="631" t="s">
        <v>25</v>
      </c>
      <c r="S34" s="632">
        <f t="shared" si="12"/>
        <v>100</v>
      </c>
      <c r="T34" s="631" t="s">
        <v>25</v>
      </c>
      <c r="U34" s="632">
        <f t="shared" si="13"/>
        <v>100</v>
      </c>
      <c r="V34" s="631" t="s">
        <v>25</v>
      </c>
      <c r="W34" s="632">
        <f t="shared" si="14"/>
        <v>100</v>
      </c>
      <c r="X34" s="1303"/>
      <c r="Y34" s="3660"/>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60"/>
      <c r="Q35" s="633">
        <f t="shared" si="11"/>
        <v>111</v>
      </c>
      <c r="R35" s="634" t="s">
        <v>25</v>
      </c>
      <c r="S35" s="635">
        <f t="shared" si="12"/>
        <v>100</v>
      </c>
      <c r="T35" s="634" t="s">
        <v>25</v>
      </c>
      <c r="U35" s="635">
        <f t="shared" si="13"/>
        <v>100</v>
      </c>
      <c r="V35" s="634" t="s">
        <v>25</v>
      </c>
      <c r="W35" s="635">
        <f t="shared" si="14"/>
        <v>100</v>
      </c>
      <c r="X35" s="636"/>
      <c r="Y35" s="3660"/>
      <c r="Z35" s="637">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60"/>
      <c r="Q36" s="1302">
        <f t="shared" si="11"/>
        <v>111</v>
      </c>
      <c r="R36" s="631" t="s">
        <v>25</v>
      </c>
      <c r="S36" s="632">
        <f t="shared" si="12"/>
        <v>100</v>
      </c>
      <c r="T36" s="631" t="s">
        <v>25</v>
      </c>
      <c r="U36" s="632">
        <f t="shared" si="13"/>
        <v>100</v>
      </c>
      <c r="V36" s="631" t="s">
        <v>25</v>
      </c>
      <c r="W36" s="632">
        <f t="shared" si="14"/>
        <v>100</v>
      </c>
      <c r="X36" s="1303"/>
      <c r="Y36" s="3660"/>
      <c r="Z36" s="1304">
        <f t="shared" si="15"/>
        <v>111</v>
      </c>
      <c r="AA36" s="1305">
        <f t="shared" si="3"/>
        <v>1</v>
      </c>
      <c r="AB36" s="1305">
        <f t="shared" si="4"/>
        <v>1</v>
      </c>
      <c r="AC36" s="1305">
        <f t="shared" si="5"/>
        <v>1</v>
      </c>
    </row>
    <row r="37" spans="1:29" ht="15">
      <c r="A37" s="367" t="s">
        <v>2358</v>
      </c>
      <c r="B37" s="840" t="s">
        <v>2359</v>
      </c>
      <c r="C37" s="1122" t="s">
        <v>1</v>
      </c>
      <c r="D37" s="1123"/>
      <c r="E37" s="1124"/>
      <c r="F37" s="1125"/>
      <c r="G37" s="1126"/>
      <c r="H37" s="1127"/>
      <c r="I37" s="1124"/>
      <c r="J37" s="1127"/>
      <c r="K37" s="503"/>
      <c r="L37" s="3004"/>
      <c r="N37" s="2993"/>
      <c r="P37" s="3654" t="str">
        <f>A37</f>
        <v>成交单价</v>
      </c>
      <c r="Q37" s="3654"/>
      <c r="R37" s="3655">
        <f>E37</f>
        <v>0</v>
      </c>
      <c r="S37" s="3655"/>
      <c r="T37" s="3655">
        <f>G37</f>
        <v>0</v>
      </c>
      <c r="U37" s="3655"/>
      <c r="V37" s="3655">
        <f>I37</f>
        <v>0</v>
      </c>
      <c r="W37" s="3655"/>
      <c r="X37" s="618"/>
      <c r="Y37" s="638"/>
      <c r="Z37" s="618"/>
      <c r="AA37" s="618"/>
      <c r="AB37" s="618"/>
      <c r="AC37" s="618"/>
    </row>
    <row r="38" spans="1:29" ht="15.75" thickBot="1">
      <c r="A38" s="374" t="s">
        <v>2360</v>
      </c>
      <c r="B38" s="375" t="str">
        <f>B37</f>
        <v>元/平方米</v>
      </c>
      <c r="C38" s="1128" t="e">
        <f>R39</f>
        <v>#DIV/0!</v>
      </c>
      <c r="D38" s="1765" t="s">
        <v>2683</v>
      </c>
      <c r="E38" s="1129" t="e">
        <f>R38</f>
        <v>#DIV/0!</v>
      </c>
      <c r="F38" s="1767"/>
      <c r="G38" s="1128" t="e">
        <f>T38</f>
        <v>#DIV/0!</v>
      </c>
      <c r="H38" s="1767"/>
      <c r="I38" s="1129" t="e">
        <f>V38</f>
        <v>#DIV/0!</v>
      </c>
      <c r="J38" s="1767"/>
      <c r="K38" s="2479">
        <f>F38+H38+J38</f>
        <v>0</v>
      </c>
      <c r="L38" s="3004"/>
      <c r="P38" s="3654" t="str">
        <f>A38</f>
        <v>比较价值</v>
      </c>
      <c r="Q38" s="3654"/>
      <c r="R38" s="3655" t="e">
        <f>IF(E1="售价",ROUND(PRODUCT(R37,AA7:AA36),0),ROUND(PRODUCT(R37,AA7:AA36),1))</f>
        <v>#DIV/0!</v>
      </c>
      <c r="S38" s="3655"/>
      <c r="T38" s="3655" t="e">
        <f>IF(E1="售价",ROUND(PRODUCT(T37,AB7:AB36),0),ROUND(PRODUCT(T37,AB7:AB36),1))</f>
        <v>#DIV/0!</v>
      </c>
      <c r="U38" s="3655"/>
      <c r="V38" s="3655" t="e">
        <f>IF(E1="售价",ROUND(PRODUCT(V37,AC7:AC36),0),ROUND(PRODUCT(V37,AC7:AC36),1))</f>
        <v>#DIV/0!</v>
      </c>
      <c r="W38" s="3655"/>
      <c r="X38" s="618"/>
      <c r="Y38" s="618"/>
      <c r="Z38" s="618"/>
      <c r="AA38" s="618"/>
      <c r="AB38" s="618"/>
      <c r="AC38" s="618"/>
    </row>
    <row r="39" spans="1:29" ht="15.75" thickBot="1">
      <c r="A39" s="378" t="s">
        <v>2361</v>
      </c>
      <c r="B39" s="379"/>
      <c r="C39" s="1130" t="e">
        <f>R39</f>
        <v>#DIV/0!</v>
      </c>
      <c r="D39" s="1130"/>
      <c r="E39" s="1130"/>
      <c r="F39" s="1130"/>
      <c r="G39" s="1130"/>
      <c r="H39" s="1130"/>
      <c r="I39" s="1130"/>
      <c r="J39" s="1130"/>
      <c r="K39" s="504"/>
      <c r="L39" s="3004"/>
      <c r="P39" s="3656" t="str">
        <f>A39</f>
        <v>估价对象XX用房的比较价值（楼面单价，元/平方米）</v>
      </c>
      <c r="Q39" s="3657"/>
      <c r="R39" s="3658" t="e">
        <f>IF(E1="售价",ROUND(IF(D38="简单平均",AVERAGE(R38:W38),R38*F38+T38*H38+V38*J38),0),ROUND(IF(D38="简单平均",AVERAGE(R38:V38),R38*F38+T38*H38+V38*J38),1))</f>
        <v>#DIV/0!</v>
      </c>
      <c r="S39" s="3658"/>
      <c r="T39" s="3658"/>
      <c r="U39" s="3658"/>
      <c r="V39" s="3658"/>
      <c r="W39" s="3658"/>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2" t="s">
        <v>2365</v>
      </c>
      <c r="B47" s="953"/>
      <c r="C47" s="961"/>
      <c r="D47" s="961"/>
      <c r="E47" s="961"/>
      <c r="F47" s="1133"/>
      <c r="G47" s="1133"/>
      <c r="H47" s="961"/>
      <c r="I47" s="961"/>
      <c r="J47" s="961"/>
      <c r="K47" s="959"/>
      <c r="L47" s="624"/>
      <c r="M47" s="621"/>
      <c r="N47" s="621"/>
      <c r="O47" s="621"/>
      <c r="P47" s="621"/>
      <c r="Q47" s="1131"/>
      <c r="R47" s="618"/>
      <c r="S47" s="618"/>
      <c r="T47" s="618"/>
      <c r="U47" s="618"/>
      <c r="V47" s="618"/>
      <c r="W47" s="618"/>
      <c r="X47" s="618"/>
      <c r="Y47" s="618"/>
      <c r="Z47" s="618"/>
      <c r="AA47" s="618"/>
      <c r="AB47" s="618"/>
      <c r="AC47" s="618"/>
    </row>
    <row r="48" spans="1:29" s="394" customFormat="1" ht="15">
      <c r="A48" s="391" t="s">
        <v>2366</v>
      </c>
      <c r="B48" s="392"/>
      <c r="C48" s="1156" t="str">
        <f>YEAR(C7)&amp;"-"&amp;MONTH(C7)</f>
        <v>2022-3</v>
      </c>
      <c r="D48" s="1157">
        <f>EDATE(C48,-1)</f>
        <v>44593</v>
      </c>
      <c r="E48" s="1157">
        <f t="shared" ref="E48:O48" si="16">EDATE(D48,-1)</f>
        <v>44562</v>
      </c>
      <c r="F48" s="1157">
        <f t="shared" si="16"/>
        <v>44531</v>
      </c>
      <c r="G48" s="1157">
        <f t="shared" si="16"/>
        <v>44501</v>
      </c>
      <c r="H48" s="1157">
        <f t="shared" si="16"/>
        <v>44470</v>
      </c>
      <c r="I48" s="1157">
        <f t="shared" si="16"/>
        <v>44440</v>
      </c>
      <c r="J48" s="1157">
        <f t="shared" si="16"/>
        <v>44409</v>
      </c>
      <c r="K48" s="1157">
        <f t="shared" si="16"/>
        <v>44378</v>
      </c>
      <c r="L48" s="1157">
        <f t="shared" si="16"/>
        <v>44348</v>
      </c>
      <c r="M48" s="1157">
        <f t="shared" si="16"/>
        <v>44317</v>
      </c>
      <c r="N48" s="1157">
        <f t="shared" si="16"/>
        <v>44287</v>
      </c>
      <c r="O48" s="1157">
        <f t="shared" si="16"/>
        <v>44256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2345</v>
      </c>
      <c r="B1" s="1550"/>
      <c r="C1" s="1190"/>
      <c r="D1" s="1200"/>
      <c r="E1" s="1527" t="s">
        <v>2684</v>
      </c>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1857</v>
      </c>
      <c r="B2" s="1186" t="e">
        <f ca="1">IF(D2="——",IF(C2="元",ROUND(C37*D3,0),ROUND(C37*D3/10000,0)),IF(C2="元",ROUND(C37*D3,0),ROUND(C37*D3/10000,0))-E2)</f>
        <v>#DIV/0!</v>
      </c>
      <c r="C2" s="79" t="str">
        <f>'数据-取费表'!B3</f>
        <v>元</v>
      </c>
      <c r="D2" s="1528"/>
      <c r="E2" s="1199" t="e">
        <f ca="1">SUMIF(INDIRECT("'"&amp;G2&amp;"'"&amp;"!A:A"),"承租人权益价值",INDIRECT("'"&amp;G2&amp;"'"&amp;"!c:c"))</f>
        <v>#REF!</v>
      </c>
      <c r="F2" s="1529" t="str">
        <f>C2</f>
        <v>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2184</v>
      </c>
      <c r="D3" s="292">
        <f>IF(C1="仅计算典型户型",'数据-取费表'!E5,'数据-取费表'!B5)</f>
        <v>259.41000000000003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77" t="s">
        <v>2186</v>
      </c>
      <c r="D4" s="3678"/>
      <c r="E4" s="3679" t="s">
        <v>2187</v>
      </c>
      <c r="F4" s="3680"/>
      <c r="G4" s="3677" t="s">
        <v>2188</v>
      </c>
      <c r="H4" s="3678"/>
      <c r="I4" s="3677" t="s">
        <v>2189</v>
      </c>
      <c r="J4" s="3678"/>
      <c r="K4" s="496" t="s">
        <v>2190</v>
      </c>
      <c r="L4" s="2992"/>
      <c r="M4" s="2993"/>
      <c r="N4" s="2993"/>
      <c r="O4" s="2993"/>
      <c r="P4" s="3681" t="s">
        <v>2191</v>
      </c>
      <c r="Q4" s="3682"/>
      <c r="R4" s="3664" t="s">
        <v>2187</v>
      </c>
      <c r="S4" s="3665"/>
      <c r="T4" s="3664" t="s">
        <v>2188</v>
      </c>
      <c r="U4" s="3665"/>
      <c r="V4" s="3687" t="s">
        <v>2189</v>
      </c>
      <c r="W4" s="3687"/>
      <c r="X4" s="1303"/>
      <c r="Y4" s="3664" t="s">
        <v>2191</v>
      </c>
      <c r="Z4" s="3665"/>
      <c r="AA4" s="3674" t="s">
        <v>2187</v>
      </c>
      <c r="AB4" s="3675" t="s">
        <v>2188</v>
      </c>
      <c r="AC4" s="3674" t="s">
        <v>2189</v>
      </c>
    </row>
    <row r="5" spans="1:29" ht="15">
      <c r="A5" s="297"/>
      <c r="B5" s="298"/>
      <c r="C5" s="3690" t="s">
        <v>2192</v>
      </c>
      <c r="D5" s="3691"/>
      <c r="E5" s="3688" t="s">
        <v>2193</v>
      </c>
      <c r="F5" s="3689"/>
      <c r="G5" s="3690" t="s">
        <v>2194</v>
      </c>
      <c r="H5" s="3691"/>
      <c r="I5" s="3690" t="s">
        <v>2195</v>
      </c>
      <c r="J5" s="3691"/>
      <c r="K5" s="496"/>
      <c r="L5" s="2992"/>
      <c r="M5" s="2993"/>
      <c r="N5" s="2993"/>
      <c r="O5" s="2993"/>
      <c r="P5" s="3683"/>
      <c r="Q5" s="3684"/>
      <c r="R5" s="3666"/>
      <c r="S5" s="3667"/>
      <c r="T5" s="3666"/>
      <c r="U5" s="3667"/>
      <c r="V5" s="3687"/>
      <c r="W5" s="3687"/>
      <c r="X5" s="1303"/>
      <c r="Y5" s="3666"/>
      <c r="Z5" s="3667"/>
      <c r="AA5" s="3675"/>
      <c r="AB5" s="3675"/>
      <c r="AC5" s="3675"/>
    </row>
    <row r="6" spans="1:29" ht="15.75" thickBot="1">
      <c r="A6" s="299"/>
      <c r="B6" s="300"/>
      <c r="C6" s="3692" t="s">
        <v>2196</v>
      </c>
      <c r="D6" s="3693"/>
      <c r="E6" s="3694" t="s">
        <v>2196</v>
      </c>
      <c r="F6" s="3695"/>
      <c r="G6" s="3692" t="s">
        <v>2196</v>
      </c>
      <c r="H6" s="3693"/>
      <c r="I6" s="3692" t="s">
        <v>2196</v>
      </c>
      <c r="J6" s="3693"/>
      <c r="K6" s="496" t="s">
        <v>2197</v>
      </c>
      <c r="L6" s="2992"/>
      <c r="M6" s="2993"/>
      <c r="N6" s="2993"/>
      <c r="O6" s="2993"/>
      <c r="P6" s="3685"/>
      <c r="Q6" s="3686"/>
      <c r="R6" s="3666"/>
      <c r="S6" s="3667"/>
      <c r="T6" s="3668"/>
      <c r="U6" s="3669"/>
      <c r="V6" s="3687"/>
      <c r="W6" s="3687"/>
      <c r="X6" s="1303"/>
      <c r="Y6" s="3668"/>
      <c r="Z6" s="3669"/>
      <c r="AA6" s="3676"/>
      <c r="AB6" s="3676"/>
      <c r="AC6" s="3676"/>
    </row>
    <row r="7" spans="1:29" s="25" customFormat="1" ht="15.75" thickBot="1">
      <c r="A7" s="301" t="s">
        <v>2198</v>
      </c>
      <c r="B7" s="302"/>
      <c r="C7" s="303">
        <f>'数据-取费表'!B2</f>
        <v>44636</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62" t="s">
        <v>2199</v>
      </c>
      <c r="Q7" s="3670"/>
      <c r="R7" s="627" t="s">
        <v>25</v>
      </c>
      <c r="S7" s="628">
        <f t="shared" ref="S7:S14" si="0">F7</f>
        <v>0</v>
      </c>
      <c r="T7" s="627" t="s">
        <v>25</v>
      </c>
      <c r="U7" s="628">
        <f t="shared" ref="U7:U14" si="1">H7</f>
        <v>0</v>
      </c>
      <c r="V7" s="627" t="s">
        <v>25</v>
      </c>
      <c r="W7" s="628">
        <f t="shared" ref="W7:W14" si="2">J7</f>
        <v>0</v>
      </c>
      <c r="X7" s="629"/>
      <c r="Y7" s="3662" t="s">
        <v>2199</v>
      </c>
      <c r="Z7" s="3663"/>
      <c r="AA7" s="630" t="e">
        <f>D7/F7</f>
        <v>#DIV/0!</v>
      </c>
      <c r="AB7" s="630" t="e">
        <f>D7/H7</f>
        <v>#DIV/0!</v>
      </c>
      <c r="AC7" s="630"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62" t="s">
        <v>2202</v>
      </c>
      <c r="Q8" s="3663"/>
      <c r="R8" s="627" t="s">
        <v>25</v>
      </c>
      <c r="S8" s="628">
        <f t="shared" si="0"/>
        <v>0</v>
      </c>
      <c r="T8" s="627" t="s">
        <v>25</v>
      </c>
      <c r="U8" s="628">
        <f t="shared" si="1"/>
        <v>0</v>
      </c>
      <c r="V8" s="627" t="s">
        <v>25</v>
      </c>
      <c r="W8" s="628">
        <f t="shared" si="2"/>
        <v>0</v>
      </c>
      <c r="X8" s="629"/>
      <c r="Y8" s="3662" t="s">
        <v>2202</v>
      </c>
      <c r="Z8" s="3663"/>
      <c r="AA8" s="630" t="e">
        <f t="shared" ref="AA8:AA34" si="3">D8/F8</f>
        <v>#DIV/0!</v>
      </c>
      <c r="AB8" s="630" t="e">
        <f t="shared" ref="AB8:AB34" si="4">D8/H8</f>
        <v>#DIV/0!</v>
      </c>
      <c r="AC8" s="630"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4" t="s">
        <v>2205</v>
      </c>
      <c r="Q9" s="1295" t="str">
        <f t="shared" ref="Q9:Q14" si="6">B9</f>
        <v>用途</v>
      </c>
      <c r="R9" s="627" t="s">
        <v>25</v>
      </c>
      <c r="S9" s="628">
        <f t="shared" si="0"/>
        <v>100</v>
      </c>
      <c r="T9" s="627" t="s">
        <v>25</v>
      </c>
      <c r="U9" s="628">
        <f t="shared" si="1"/>
        <v>100</v>
      </c>
      <c r="V9" s="627" t="s">
        <v>25</v>
      </c>
      <c r="W9" s="628">
        <f t="shared" si="2"/>
        <v>100</v>
      </c>
      <c r="X9" s="629"/>
      <c r="Y9" s="3673" t="s">
        <v>2206</v>
      </c>
      <c r="Z9" s="19" t="str">
        <f t="shared" ref="Z9:Z14" si="7">Q9</f>
        <v>用途</v>
      </c>
      <c r="AA9" s="630">
        <f t="shared" si="3"/>
        <v>1</v>
      </c>
      <c r="AB9" s="630">
        <f t="shared" si="4"/>
        <v>1</v>
      </c>
      <c r="AC9" s="630">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4"/>
      <c r="Q10" s="129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4"/>
      <c r="Q11" s="129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4"/>
      <c r="Q12" s="129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4"/>
      <c r="Q13" s="129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329" t="s">
        <v>2209</v>
      </c>
      <c r="B14" s="22" t="s">
        <v>2347</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71" t="s">
        <v>2210</v>
      </c>
      <c r="Q14" s="1302" t="str">
        <f t="shared" si="6"/>
        <v>交通便捷度</v>
      </c>
      <c r="R14" s="631" t="s">
        <v>25</v>
      </c>
      <c r="S14" s="632">
        <f t="shared" si="0"/>
        <v>100</v>
      </c>
      <c r="T14" s="631" t="s">
        <v>25</v>
      </c>
      <c r="U14" s="632">
        <f t="shared" si="1"/>
        <v>100</v>
      </c>
      <c r="V14" s="631" t="s">
        <v>25</v>
      </c>
      <c r="W14" s="632">
        <f t="shared" si="2"/>
        <v>100</v>
      </c>
      <c r="X14" s="1303"/>
      <c r="Y14" s="3671" t="s">
        <v>2210</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672"/>
      <c r="Q15" s="1302"/>
      <c r="R15" s="631"/>
      <c r="S15" s="632"/>
      <c r="T15" s="631"/>
      <c r="U15" s="632"/>
      <c r="V15" s="631"/>
      <c r="W15" s="632"/>
      <c r="X15" s="1303"/>
      <c r="Y15" s="3672"/>
      <c r="Z15" s="1304"/>
      <c r="AA15" s="1305">
        <v>1</v>
      </c>
      <c r="AB15" s="1305">
        <v>1</v>
      </c>
      <c r="AC15" s="1305">
        <v>1</v>
      </c>
    </row>
    <row r="16" spans="1:29" ht="42.75">
      <c r="A16" s="318"/>
      <c r="B16" s="513" t="s">
        <v>2325</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72"/>
      <c r="Q16" s="1302" t="str">
        <f>B16</f>
        <v>公共配套设施</v>
      </c>
      <c r="R16" s="631" t="s">
        <v>25</v>
      </c>
      <c r="S16" s="632">
        <f>F16</f>
        <v>100</v>
      </c>
      <c r="T16" s="631" t="s">
        <v>25</v>
      </c>
      <c r="U16" s="632">
        <f>H16</f>
        <v>100</v>
      </c>
      <c r="V16" s="631" t="s">
        <v>25</v>
      </c>
      <c r="W16" s="632">
        <f>J16</f>
        <v>100</v>
      </c>
      <c r="X16" s="1303"/>
      <c r="Y16" s="3672"/>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672"/>
      <c r="Q17" s="1302"/>
      <c r="R17" s="631"/>
      <c r="S17" s="632"/>
      <c r="T17" s="631"/>
      <c r="U17" s="632"/>
      <c r="V17" s="631"/>
      <c r="W17" s="632"/>
      <c r="X17" s="1303"/>
      <c r="Y17" s="3672"/>
      <c r="Z17" s="1304"/>
      <c r="AA17" s="1305">
        <v>1</v>
      </c>
      <c r="AB17" s="1305">
        <v>1</v>
      </c>
      <c r="AC17" s="1305">
        <v>1</v>
      </c>
    </row>
    <row r="18" spans="1:29" ht="28.5">
      <c r="A18" s="318"/>
      <c r="B18" s="515" t="s">
        <v>2326</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72"/>
      <c r="Q18" s="1302" t="str">
        <f>B18</f>
        <v>基础设施水平</v>
      </c>
      <c r="R18" s="631" t="s">
        <v>25</v>
      </c>
      <c r="S18" s="632">
        <f>F18</f>
        <v>100</v>
      </c>
      <c r="T18" s="631" t="s">
        <v>25</v>
      </c>
      <c r="U18" s="632">
        <f>H18</f>
        <v>100</v>
      </c>
      <c r="V18" s="631" t="s">
        <v>25</v>
      </c>
      <c r="W18" s="632">
        <f>J18</f>
        <v>100</v>
      </c>
      <c r="X18" s="1303"/>
      <c r="Y18" s="3672"/>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672"/>
      <c r="Q19" s="1302"/>
      <c r="R19" s="631"/>
      <c r="S19" s="632"/>
      <c r="T19" s="631"/>
      <c r="U19" s="632"/>
      <c r="V19" s="631"/>
      <c r="W19" s="632"/>
      <c r="X19" s="1303"/>
      <c r="Y19" s="3672"/>
      <c r="Z19" s="1304"/>
      <c r="AA19" s="1305">
        <v>1</v>
      </c>
      <c r="AB19" s="1305">
        <v>1</v>
      </c>
      <c r="AC19" s="1305">
        <v>1</v>
      </c>
    </row>
    <row r="20" spans="1:29" ht="57">
      <c r="A20" s="318"/>
      <c r="B20" s="340" t="s">
        <v>2348</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72"/>
      <c r="Q20" s="1302" t="str">
        <f>B20</f>
        <v>自然及人文环境</v>
      </c>
      <c r="R20" s="631" t="s">
        <v>25</v>
      </c>
      <c r="S20" s="632">
        <f>F20</f>
        <v>100</v>
      </c>
      <c r="T20" s="631" t="s">
        <v>25</v>
      </c>
      <c r="U20" s="632">
        <f>H20</f>
        <v>100</v>
      </c>
      <c r="V20" s="631" t="s">
        <v>25</v>
      </c>
      <c r="W20" s="632">
        <f>J20</f>
        <v>100</v>
      </c>
      <c r="X20" s="1303"/>
      <c r="Y20" s="3672"/>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672"/>
      <c r="Q21" s="1302"/>
      <c r="R21" s="631"/>
      <c r="S21" s="632"/>
      <c r="T21" s="631"/>
      <c r="U21" s="632"/>
      <c r="V21" s="631"/>
      <c r="W21" s="632"/>
      <c r="X21" s="1303"/>
      <c r="Y21" s="3672"/>
      <c r="Z21" s="1304"/>
      <c r="AA21" s="1305">
        <v>1</v>
      </c>
      <c r="AB21" s="1305">
        <v>1</v>
      </c>
      <c r="AC21" s="1305">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72"/>
      <c r="Q22" s="1302" t="str">
        <f>B22</f>
        <v>楼层</v>
      </c>
      <c r="R22" s="631" t="s">
        <v>25</v>
      </c>
      <c r="S22" s="632">
        <f>F22</f>
        <v>100</v>
      </c>
      <c r="T22" s="631" t="s">
        <v>25</v>
      </c>
      <c r="U22" s="632">
        <f>H22</f>
        <v>100</v>
      </c>
      <c r="V22" s="631" t="s">
        <v>25</v>
      </c>
      <c r="W22" s="632">
        <f>J22</f>
        <v>100</v>
      </c>
      <c r="X22" s="1303"/>
      <c r="Y22" s="3672"/>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72"/>
      <c r="Q23" s="1302">
        <f>B23</f>
        <v>111</v>
      </c>
      <c r="R23" s="631" t="s">
        <v>25</v>
      </c>
      <c r="S23" s="632">
        <f>F23</f>
        <v>100</v>
      </c>
      <c r="T23" s="631" t="s">
        <v>25</v>
      </c>
      <c r="U23" s="632">
        <f>H23</f>
        <v>100</v>
      </c>
      <c r="V23" s="631" t="s">
        <v>25</v>
      </c>
      <c r="W23" s="632">
        <f>J23</f>
        <v>100</v>
      </c>
      <c r="X23" s="1303"/>
      <c r="Y23" s="3672"/>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72"/>
      <c r="Q24" s="1302">
        <f t="shared" ref="Q24:Q34" si="11">B24</f>
        <v>111</v>
      </c>
      <c r="R24" s="631" t="s">
        <v>25</v>
      </c>
      <c r="S24" s="632">
        <f>F24</f>
        <v>100</v>
      </c>
      <c r="T24" s="631" t="s">
        <v>25</v>
      </c>
      <c r="U24" s="632">
        <f>H24</f>
        <v>100</v>
      </c>
      <c r="V24" s="631" t="s">
        <v>25</v>
      </c>
      <c r="W24" s="632">
        <f>J24</f>
        <v>100</v>
      </c>
      <c r="X24" s="1303"/>
      <c r="Y24" s="3672"/>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72"/>
      <c r="Q25" s="1295">
        <f t="shared" si="11"/>
        <v>111</v>
      </c>
      <c r="R25" s="627" t="s">
        <v>25</v>
      </c>
      <c r="S25" s="628">
        <f>F25</f>
        <v>100</v>
      </c>
      <c r="T25" s="627" t="s">
        <v>25</v>
      </c>
      <c r="U25" s="628">
        <f>H25</f>
        <v>100</v>
      </c>
      <c r="V25" s="627" t="s">
        <v>25</v>
      </c>
      <c r="W25" s="628">
        <f>J25</f>
        <v>100</v>
      </c>
      <c r="X25" s="629"/>
      <c r="Y25" s="3672"/>
      <c r="Z25" s="19">
        <f>Q25</f>
        <v>111</v>
      </c>
      <c r="AA25" s="1305">
        <f>D25/F25</f>
        <v>1</v>
      </c>
      <c r="AB25" s="1305">
        <f>D25/H25</f>
        <v>1</v>
      </c>
      <c r="AC25" s="1305">
        <f>D25/J25</f>
        <v>1</v>
      </c>
    </row>
    <row r="26" spans="1:29" ht="28.5">
      <c r="A26" s="354" t="s">
        <v>2214</v>
      </c>
      <c r="B26" s="24" t="s">
        <v>2352</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59" t="s">
        <v>2216</v>
      </c>
      <c r="Q26" s="1302" t="str">
        <f t="shared" si="11"/>
        <v>公共部分装修</v>
      </c>
      <c r="R26" s="631" t="s">
        <v>25</v>
      </c>
      <c r="S26" s="632">
        <f t="shared" ref="S26:S34" si="12">F26</f>
        <v>100</v>
      </c>
      <c r="T26" s="631" t="s">
        <v>25</v>
      </c>
      <c r="U26" s="632">
        <f t="shared" ref="U26:U34" si="13">H26</f>
        <v>100</v>
      </c>
      <c r="V26" s="631" t="s">
        <v>25</v>
      </c>
      <c r="W26" s="632">
        <f t="shared" ref="W26:W34" si="14">J26</f>
        <v>100</v>
      </c>
      <c r="X26" s="1303"/>
      <c r="Y26" s="3660" t="s">
        <v>2216</v>
      </c>
      <c r="Z26" s="1304" t="str">
        <f t="shared" ref="Z26:Z34" si="15">Q26</f>
        <v>公共部分装修</v>
      </c>
      <c r="AA26" s="1305">
        <f t="shared" si="3"/>
        <v>1</v>
      </c>
      <c r="AB26" s="1305">
        <f t="shared" si="4"/>
        <v>1</v>
      </c>
      <c r="AC26" s="1305">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60"/>
      <c r="Q27" s="633" t="str">
        <f t="shared" si="11"/>
        <v>成新率</v>
      </c>
      <c r="R27" s="634" t="s">
        <v>25</v>
      </c>
      <c r="S27" s="635" t="e">
        <f t="shared" si="12"/>
        <v>#N/A</v>
      </c>
      <c r="T27" s="634" t="s">
        <v>25</v>
      </c>
      <c r="U27" s="635" t="e">
        <f t="shared" si="13"/>
        <v>#N/A</v>
      </c>
      <c r="V27" s="634" t="s">
        <v>25</v>
      </c>
      <c r="W27" s="635" t="e">
        <f t="shared" si="14"/>
        <v>#N/A</v>
      </c>
      <c r="X27" s="636"/>
      <c r="Y27" s="3660"/>
      <c r="Z27" s="637" t="str">
        <f t="shared" si="15"/>
        <v>成新率</v>
      </c>
      <c r="AA27" s="1305" t="e">
        <f t="shared" si="3"/>
        <v>#N/A</v>
      </c>
      <c r="AB27" s="1305" t="e">
        <f t="shared" si="4"/>
        <v>#N/A</v>
      </c>
      <c r="AC27" s="1305"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60"/>
      <c r="Q28" s="1302" t="str">
        <f t="shared" si="11"/>
        <v>物业等级</v>
      </c>
      <c r="R28" s="631" t="s">
        <v>25</v>
      </c>
      <c r="S28" s="632">
        <f t="shared" si="12"/>
        <v>100</v>
      </c>
      <c r="T28" s="631" t="s">
        <v>25</v>
      </c>
      <c r="U28" s="632">
        <f t="shared" si="13"/>
        <v>100</v>
      </c>
      <c r="V28" s="631" t="s">
        <v>25</v>
      </c>
      <c r="W28" s="632">
        <f t="shared" si="14"/>
        <v>100</v>
      </c>
      <c r="X28" s="1303"/>
      <c r="Y28" s="3660"/>
      <c r="Z28" s="1304" t="str">
        <f t="shared" si="15"/>
        <v>物业等级</v>
      </c>
      <c r="AA28" s="1305">
        <f t="shared" si="3"/>
        <v>1</v>
      </c>
      <c r="AB28" s="1305">
        <f t="shared" si="4"/>
        <v>1</v>
      </c>
      <c r="AC28" s="1305">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60"/>
      <c r="Q29" s="1302" t="str">
        <f t="shared" si="11"/>
        <v>有无电梯</v>
      </c>
      <c r="R29" s="631" t="s">
        <v>25</v>
      </c>
      <c r="S29" s="632">
        <f t="shared" si="12"/>
        <v>100</v>
      </c>
      <c r="T29" s="631" t="s">
        <v>25</v>
      </c>
      <c r="U29" s="632">
        <f t="shared" si="13"/>
        <v>100</v>
      </c>
      <c r="V29" s="631" t="s">
        <v>25</v>
      </c>
      <c r="W29" s="632">
        <f t="shared" si="14"/>
        <v>100</v>
      </c>
      <c r="X29" s="1303"/>
      <c r="Y29" s="3660"/>
      <c r="Z29" s="1304" t="str">
        <f t="shared" si="15"/>
        <v>有无电梯</v>
      </c>
      <c r="AA29" s="1305">
        <f t="shared" si="3"/>
        <v>1</v>
      </c>
      <c r="AB29" s="1305">
        <f t="shared" si="4"/>
        <v>1</v>
      </c>
      <c r="AC29" s="1305">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60"/>
      <c r="Q30" s="1302" t="str">
        <f t="shared" si="11"/>
        <v>建筑面积</v>
      </c>
      <c r="R30" s="631" t="s">
        <v>25</v>
      </c>
      <c r="S30" s="632" t="e">
        <f t="shared" si="12"/>
        <v>#N/A</v>
      </c>
      <c r="T30" s="631" t="s">
        <v>25</v>
      </c>
      <c r="U30" s="632" t="e">
        <f t="shared" si="13"/>
        <v>#N/A</v>
      </c>
      <c r="V30" s="631" t="s">
        <v>25</v>
      </c>
      <c r="W30" s="632" t="e">
        <f t="shared" si="14"/>
        <v>#N/A</v>
      </c>
      <c r="X30" s="1303"/>
      <c r="Y30" s="3660"/>
      <c r="Z30" s="1304" t="str">
        <f t="shared" si="15"/>
        <v>建筑面积</v>
      </c>
      <c r="AA30" s="1305" t="e">
        <f t="shared" si="3"/>
        <v>#N/A</v>
      </c>
      <c r="AB30" s="1305" t="e">
        <f t="shared" si="4"/>
        <v>#N/A</v>
      </c>
      <c r="AC30" s="1305"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60"/>
      <c r="Q31" s="1295" t="str">
        <f t="shared" si="11"/>
        <v>是否封闭</v>
      </c>
      <c r="R31" s="627" t="s">
        <v>25</v>
      </c>
      <c r="S31" s="628">
        <f t="shared" si="12"/>
        <v>100</v>
      </c>
      <c r="T31" s="627" t="s">
        <v>25</v>
      </c>
      <c r="U31" s="628">
        <f t="shared" si="13"/>
        <v>100</v>
      </c>
      <c r="V31" s="627" t="s">
        <v>25</v>
      </c>
      <c r="W31" s="628">
        <f t="shared" si="14"/>
        <v>100</v>
      </c>
      <c r="X31" s="629"/>
      <c r="Y31" s="3660"/>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60" t="s">
        <v>2216</v>
      </c>
      <c r="Q32" s="1302">
        <f t="shared" si="11"/>
        <v>111</v>
      </c>
      <c r="R32" s="631" t="s">
        <v>25</v>
      </c>
      <c r="S32" s="632">
        <f t="shared" si="12"/>
        <v>100</v>
      </c>
      <c r="T32" s="631" t="s">
        <v>25</v>
      </c>
      <c r="U32" s="632">
        <f t="shared" si="13"/>
        <v>100</v>
      </c>
      <c r="V32" s="631" t="s">
        <v>25</v>
      </c>
      <c r="W32" s="632">
        <f t="shared" si="14"/>
        <v>100</v>
      </c>
      <c r="X32" s="1303"/>
      <c r="Y32" s="3660" t="s">
        <v>2216</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60"/>
      <c r="Q33" s="1302">
        <f t="shared" si="11"/>
        <v>111</v>
      </c>
      <c r="R33" s="631" t="s">
        <v>25</v>
      </c>
      <c r="S33" s="632">
        <f t="shared" si="12"/>
        <v>100</v>
      </c>
      <c r="T33" s="631" t="s">
        <v>25</v>
      </c>
      <c r="U33" s="632">
        <f t="shared" si="13"/>
        <v>100</v>
      </c>
      <c r="V33" s="631" t="s">
        <v>25</v>
      </c>
      <c r="W33" s="632">
        <f t="shared" si="14"/>
        <v>100</v>
      </c>
      <c r="X33" s="1303"/>
      <c r="Y33" s="3660"/>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60"/>
      <c r="Q34" s="1302">
        <f t="shared" si="11"/>
        <v>111</v>
      </c>
      <c r="R34" s="631" t="s">
        <v>25</v>
      </c>
      <c r="S34" s="632">
        <f t="shared" si="12"/>
        <v>100</v>
      </c>
      <c r="T34" s="631" t="s">
        <v>25</v>
      </c>
      <c r="U34" s="632">
        <f t="shared" si="13"/>
        <v>100</v>
      </c>
      <c r="V34" s="631" t="s">
        <v>25</v>
      </c>
      <c r="W34" s="632">
        <f t="shared" si="14"/>
        <v>100</v>
      </c>
      <c r="X34" s="1303"/>
      <c r="Y34" s="3660"/>
      <c r="Z34" s="1304">
        <f t="shared" si="15"/>
        <v>111</v>
      </c>
      <c r="AA34" s="1305">
        <f t="shared" si="3"/>
        <v>1</v>
      </c>
      <c r="AB34" s="1305">
        <f t="shared" si="4"/>
        <v>1</v>
      </c>
      <c r="AC34" s="1305">
        <f t="shared" si="5"/>
        <v>1</v>
      </c>
    </row>
    <row r="35" spans="1:29" ht="15">
      <c r="A35" s="367" t="s">
        <v>2228</v>
      </c>
      <c r="B35" s="368"/>
      <c r="C35" s="1122" t="s">
        <v>1</v>
      </c>
      <c r="D35" s="1123"/>
      <c r="E35" s="1124"/>
      <c r="F35" s="1125"/>
      <c r="G35" s="1126"/>
      <c r="H35" s="1127"/>
      <c r="I35" s="1124"/>
      <c r="J35" s="1127"/>
      <c r="K35" s="640"/>
      <c r="L35" s="3004"/>
      <c r="N35" s="2993"/>
      <c r="P35" s="3654" t="str">
        <f>A35</f>
        <v>成交单价（元/平方米）</v>
      </c>
      <c r="Q35" s="3654"/>
      <c r="R35" s="3655">
        <f>E35</f>
        <v>0</v>
      </c>
      <c r="S35" s="3655"/>
      <c r="T35" s="3655">
        <f>G35</f>
        <v>0</v>
      </c>
      <c r="U35" s="3655"/>
      <c r="V35" s="3655">
        <f>I35</f>
        <v>0</v>
      </c>
      <c r="W35" s="3655"/>
      <c r="X35" s="618"/>
      <c r="Y35" s="638"/>
      <c r="Z35" s="618"/>
      <c r="AA35" s="618"/>
      <c r="AB35" s="618"/>
      <c r="AC35" s="618"/>
    </row>
    <row r="36" spans="1:29" ht="15.75" thickBot="1">
      <c r="A36" s="374" t="s">
        <v>2311</v>
      </c>
      <c r="B36" s="375"/>
      <c r="C36" s="1128" t="e">
        <f>R37</f>
        <v>#DIV/0!</v>
      </c>
      <c r="D36" s="1765" t="s">
        <v>2683</v>
      </c>
      <c r="E36" s="1129" t="e">
        <f>R36</f>
        <v>#DIV/0!</v>
      </c>
      <c r="F36" s="1767"/>
      <c r="G36" s="1128" t="e">
        <f>T36</f>
        <v>#DIV/0!</v>
      </c>
      <c r="H36" s="1767"/>
      <c r="I36" s="1129" t="e">
        <f>V36</f>
        <v>#DIV/0!</v>
      </c>
      <c r="J36" s="1767"/>
      <c r="K36" s="2479">
        <f>F36+H36+J36</f>
        <v>0</v>
      </c>
      <c r="L36" s="3004"/>
      <c r="N36" s="2993"/>
      <c r="P36" s="3654" t="str">
        <f>A36</f>
        <v>比较价值（元/平方米）</v>
      </c>
      <c r="Q36" s="3654"/>
      <c r="R36" s="3655" t="e">
        <f>IF(E1="售价",ROUND(PRODUCT(R35,AA7:AA34),0),ROUND(PRODUCT(R35,AA7:AA34),1))</f>
        <v>#DIV/0!</v>
      </c>
      <c r="S36" s="3655"/>
      <c r="T36" s="3655" t="e">
        <f>IF(E1="售价",ROUND(PRODUCT(T35,AB7:AB34),0),ROUND(PRODUCT(T35,AB7:AB34),1))</f>
        <v>#DIV/0!</v>
      </c>
      <c r="U36" s="3655"/>
      <c r="V36" s="3655" t="e">
        <f>IF(E1="售价",ROUND(PRODUCT(V35,AC7:AC34),0),ROUND(PRODUCT(V35,AC7:AC34),1))</f>
        <v>#DIV/0!</v>
      </c>
      <c r="W36" s="3655"/>
      <c r="X36" s="618"/>
      <c r="Y36" s="618"/>
      <c r="Z36" s="618"/>
      <c r="AA36" s="618"/>
      <c r="AB36" s="618"/>
      <c r="AC36" s="618"/>
    </row>
    <row r="37" spans="1:29" ht="15.75" thickBot="1">
      <c r="A37" s="378" t="s">
        <v>2334</v>
      </c>
      <c r="B37" s="379"/>
      <c r="C37" s="1130" t="e">
        <f>R37</f>
        <v>#DIV/0!</v>
      </c>
      <c r="D37" s="1130"/>
      <c r="E37" s="1130"/>
      <c r="F37" s="1130"/>
      <c r="G37" s="1130"/>
      <c r="H37" s="1130"/>
      <c r="I37" s="1130"/>
      <c r="J37" s="1130"/>
      <c r="K37" s="641"/>
      <c r="L37" s="3004"/>
      <c r="P37" s="3656" t="str">
        <f>A37</f>
        <v>估价对象XX用房的比较价值（楼面单价，元/平方米）</v>
      </c>
      <c r="Q37" s="3657"/>
      <c r="R37" s="3658" t="e">
        <f>IF(E1="售价",ROUND(IF(D36="简单平均",AVERAGE(R36:W36),R36*F36+T36*H36+V36*J36),0),ROUND(IF(D36="简单平均",AVERAGE(R36:V36),R36*F36+T36*H36+V36*J36),1))</f>
        <v>#DIV/0!</v>
      </c>
      <c r="S37" s="3658"/>
      <c r="T37" s="3658"/>
      <c r="U37" s="3658"/>
      <c r="V37" s="3658"/>
      <c r="W37" s="3658"/>
      <c r="X37" s="618"/>
      <c r="Y37" s="618"/>
      <c r="Z37" s="618"/>
      <c r="AA37" s="618"/>
      <c r="AB37" s="618"/>
      <c r="AC37" s="618"/>
    </row>
    <row r="38" spans="1:29">
      <c r="G38" s="3007"/>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2316</v>
      </c>
      <c r="B45" s="618"/>
      <c r="C45" s="621"/>
      <c r="D45" s="621"/>
      <c r="E45" s="621"/>
      <c r="F45" s="622"/>
      <c r="G45" s="622"/>
      <c r="H45" s="621"/>
      <c r="I45" s="621"/>
      <c r="J45" s="621"/>
      <c r="K45" s="623"/>
      <c r="L45" s="624"/>
      <c r="M45" s="621"/>
      <c r="N45" s="3010"/>
      <c r="O45" s="3010"/>
      <c r="P45" s="389"/>
      <c r="Q45" s="390"/>
    </row>
    <row r="46" spans="1:29" s="394" customFormat="1" ht="15">
      <c r="A46" s="391" t="s">
        <v>2198</v>
      </c>
      <c r="B46" s="392"/>
      <c r="C46" s="1156" t="str">
        <f>YEAR(C7)&amp;"-"&amp;MONTH(C7)</f>
        <v>2022-3</v>
      </c>
      <c r="D46" s="1157">
        <f>EDATE(C46,-1)</f>
        <v>44593</v>
      </c>
      <c r="E46" s="1157">
        <f t="shared" ref="E46:O46" si="16">EDATE(D46,-1)</f>
        <v>44562</v>
      </c>
      <c r="F46" s="1157">
        <f t="shared" si="16"/>
        <v>44531</v>
      </c>
      <c r="G46" s="1157">
        <f t="shared" si="16"/>
        <v>44501</v>
      </c>
      <c r="H46" s="1157">
        <f t="shared" si="16"/>
        <v>44470</v>
      </c>
      <c r="I46" s="1157">
        <f t="shared" si="16"/>
        <v>44440</v>
      </c>
      <c r="J46" s="1157">
        <f t="shared" si="16"/>
        <v>44409</v>
      </c>
      <c r="K46" s="1157">
        <f t="shared" si="16"/>
        <v>44378</v>
      </c>
      <c r="L46" s="1157">
        <f t="shared" si="16"/>
        <v>44348</v>
      </c>
      <c r="M46" s="1157">
        <f t="shared" si="16"/>
        <v>44317</v>
      </c>
      <c r="N46" s="1157">
        <f t="shared" si="16"/>
        <v>44287</v>
      </c>
      <c r="O46" s="1157">
        <f t="shared" si="16"/>
        <v>44256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2381</v>
      </c>
      <c r="B1" s="1920"/>
      <c r="C1" s="1921" t="s">
        <v>2382</v>
      </c>
      <c r="D1" s="1920"/>
      <c r="E1" s="1920"/>
      <c r="F1" s="1922" t="s">
        <v>2183</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2383</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2384</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2185</v>
      </c>
      <c r="B4" s="1632"/>
      <c r="C4" s="3638" t="s">
        <v>2186</v>
      </c>
      <c r="D4" s="3639"/>
      <c r="E4" s="3640" t="s">
        <v>2187</v>
      </c>
      <c r="F4" s="3641"/>
      <c r="G4" s="3638" t="s">
        <v>2188</v>
      </c>
      <c r="H4" s="3639"/>
      <c r="I4" s="3638" t="s">
        <v>2189</v>
      </c>
      <c r="J4" s="3639"/>
      <c r="K4" s="1934" t="s">
        <v>2190</v>
      </c>
      <c r="L4" s="2964"/>
      <c r="M4" s="2965"/>
      <c r="N4" s="2965"/>
      <c r="O4" s="2965"/>
      <c r="P4" s="3642" t="s">
        <v>2191</v>
      </c>
      <c r="Q4" s="3643"/>
      <c r="R4" s="3627" t="s">
        <v>2187</v>
      </c>
      <c r="S4" s="3628"/>
      <c r="T4" s="3627" t="s">
        <v>2188</v>
      </c>
      <c r="U4" s="3628"/>
      <c r="V4" s="3648" t="s">
        <v>2189</v>
      </c>
      <c r="W4" s="3648"/>
      <c r="X4" s="1634"/>
      <c r="Y4" s="3627" t="s">
        <v>2191</v>
      </c>
      <c r="Z4" s="3628"/>
      <c r="AA4" s="3635" t="s">
        <v>2187</v>
      </c>
      <c r="AB4" s="3636" t="s">
        <v>2188</v>
      </c>
      <c r="AC4" s="3635" t="s">
        <v>2189</v>
      </c>
    </row>
    <row r="5" spans="1:30" ht="15">
      <c r="A5" s="1636"/>
      <c r="B5" s="1637"/>
      <c r="C5" s="3623" t="s">
        <v>2192</v>
      </c>
      <c r="D5" s="3624"/>
      <c r="E5" s="3649" t="s">
        <v>2193</v>
      </c>
      <c r="F5" s="3650"/>
      <c r="G5" s="3623" t="s">
        <v>2194</v>
      </c>
      <c r="H5" s="3624"/>
      <c r="I5" s="3623" t="s">
        <v>2195</v>
      </c>
      <c r="J5" s="3624"/>
      <c r="K5" s="1934"/>
      <c r="L5" s="2964"/>
      <c r="M5" s="2965"/>
      <c r="N5" s="2965"/>
      <c r="O5" s="2965"/>
      <c r="P5" s="3644"/>
      <c r="Q5" s="3645"/>
      <c r="R5" s="3629"/>
      <c r="S5" s="3630"/>
      <c r="T5" s="3629"/>
      <c r="U5" s="3630"/>
      <c r="V5" s="3648"/>
      <c r="W5" s="3648"/>
      <c r="X5" s="1634"/>
      <c r="Y5" s="3629"/>
      <c r="Z5" s="3630"/>
      <c r="AA5" s="3636"/>
      <c r="AB5" s="3636"/>
      <c r="AC5" s="3636"/>
    </row>
    <row r="6" spans="1:30" ht="15.75" thickBot="1">
      <c r="A6" s="1639"/>
      <c r="B6" s="1640"/>
      <c r="C6" s="3621" t="s">
        <v>2196</v>
      </c>
      <c r="D6" s="3622"/>
      <c r="E6" s="3651" t="s">
        <v>2196</v>
      </c>
      <c r="F6" s="3652"/>
      <c r="G6" s="3621" t="s">
        <v>2196</v>
      </c>
      <c r="H6" s="3622"/>
      <c r="I6" s="3621" t="s">
        <v>2196</v>
      </c>
      <c r="J6" s="3622"/>
      <c r="K6" s="1934" t="s">
        <v>2197</v>
      </c>
      <c r="L6" s="2964"/>
      <c r="M6" s="2965"/>
      <c r="N6" s="2965"/>
      <c r="O6" s="2965"/>
      <c r="P6" s="3646"/>
      <c r="Q6" s="3647"/>
      <c r="R6" s="3629"/>
      <c r="S6" s="3630"/>
      <c r="T6" s="3631"/>
      <c r="U6" s="3632"/>
      <c r="V6" s="3648"/>
      <c r="W6" s="3648"/>
      <c r="X6" s="1634"/>
      <c r="Y6" s="3631"/>
      <c r="Z6" s="3632"/>
      <c r="AA6" s="3637"/>
      <c r="AB6" s="3637"/>
      <c r="AC6" s="3637"/>
    </row>
    <row r="7" spans="1:30" s="1653" customFormat="1" ht="15.75" thickBot="1">
      <c r="A7" s="1641" t="s">
        <v>2198</v>
      </c>
      <c r="B7" s="1642"/>
      <c r="C7" s="1643">
        <f>'数据-取费表'!B2</f>
        <v>44636</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25" t="s">
        <v>2199</v>
      </c>
      <c r="Q7" s="3633"/>
      <c r="R7" s="1649" t="s">
        <v>25</v>
      </c>
      <c r="S7" s="1650">
        <f t="shared" ref="S7:S15" si="0">F7</f>
        <v>0</v>
      </c>
      <c r="T7" s="1649" t="s">
        <v>25</v>
      </c>
      <c r="U7" s="1650">
        <f t="shared" ref="U7:U15" si="1">H7</f>
        <v>0</v>
      </c>
      <c r="V7" s="1649" t="s">
        <v>25</v>
      </c>
      <c r="W7" s="1650">
        <f t="shared" ref="W7:W15" si="2">J7</f>
        <v>0</v>
      </c>
      <c r="X7" s="1651"/>
      <c r="Y7" s="3625" t="s">
        <v>2199</v>
      </c>
      <c r="Z7" s="3626"/>
      <c r="AA7" s="1652" t="e">
        <f>D7/F7</f>
        <v>#DIV/0!</v>
      </c>
      <c r="AB7" s="1652" t="e">
        <f>D7/H7</f>
        <v>#DIV/0!</v>
      </c>
      <c r="AC7" s="1652" t="e">
        <f>D7/J7</f>
        <v>#DIV/0!</v>
      </c>
    </row>
    <row r="8" spans="1:30" s="1653" customFormat="1" ht="15.75" thickBot="1">
      <c r="A8" s="1641" t="s">
        <v>2200</v>
      </c>
      <c r="B8" s="1642"/>
      <c r="C8" s="1654" t="s">
        <v>2385</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25" t="s">
        <v>2202</v>
      </c>
      <c r="Q8" s="3626"/>
      <c r="R8" s="1649" t="s">
        <v>25</v>
      </c>
      <c r="S8" s="1650">
        <f t="shared" si="0"/>
        <v>0</v>
      </c>
      <c r="T8" s="1649" t="s">
        <v>25</v>
      </c>
      <c r="U8" s="1650">
        <f t="shared" si="1"/>
        <v>0</v>
      </c>
      <c r="V8" s="1649" t="s">
        <v>25</v>
      </c>
      <c r="W8" s="1650">
        <f t="shared" si="2"/>
        <v>0</v>
      </c>
      <c r="X8" s="1651"/>
      <c r="Y8" s="3625" t="s">
        <v>2202</v>
      </c>
      <c r="Z8" s="3626"/>
      <c r="AA8" s="1652" t="e">
        <f t="shared" ref="AA8:AA45" si="3">D8/F8</f>
        <v>#DIV/0!</v>
      </c>
      <c r="AB8" s="1652" t="e">
        <f t="shared" ref="AB8:AB45" si="4">D8/H8</f>
        <v>#DIV/0!</v>
      </c>
      <c r="AC8" s="1652" t="e">
        <f t="shared" ref="AC8:AC45" si="5">D8/J8</f>
        <v>#DIV/0!</v>
      </c>
    </row>
    <row r="9" spans="1:30" s="1653" customFormat="1">
      <c r="A9" s="1604" t="s">
        <v>2203</v>
      </c>
      <c r="B9" s="1656" t="s">
        <v>2204</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11" t="s">
        <v>2205</v>
      </c>
      <c r="Q9" s="1603" t="str">
        <f t="shared" ref="Q9:Q15" si="6">B9</f>
        <v>用途</v>
      </c>
      <c r="R9" s="1649" t="s">
        <v>25</v>
      </c>
      <c r="S9" s="1650">
        <f t="shared" si="0"/>
        <v>100</v>
      </c>
      <c r="T9" s="1649" t="s">
        <v>25</v>
      </c>
      <c r="U9" s="1650">
        <f t="shared" si="1"/>
        <v>100</v>
      </c>
      <c r="V9" s="1649" t="s">
        <v>25</v>
      </c>
      <c r="W9" s="1650">
        <f t="shared" si="2"/>
        <v>100</v>
      </c>
      <c r="X9" s="1651"/>
      <c r="Y9" s="3446" t="s">
        <v>2206</v>
      </c>
      <c r="Z9" s="1662" t="str">
        <f t="shared" ref="Z9:Z15" si="7">Q9</f>
        <v>用途</v>
      </c>
      <c r="AA9" s="1652">
        <f t="shared" si="3"/>
        <v>1</v>
      </c>
      <c r="AB9" s="1652">
        <f t="shared" si="4"/>
        <v>1</v>
      </c>
      <c r="AC9" s="1652">
        <f t="shared" si="5"/>
        <v>1</v>
      </c>
    </row>
    <row r="10" spans="1:30" s="1670" customFormat="1" ht="27">
      <c r="A10" s="1663"/>
      <c r="B10" s="1664" t="s">
        <v>2207</v>
      </c>
      <c r="C10" s="1676"/>
      <c r="D10" s="1666">
        <v>100</v>
      </c>
      <c r="E10" s="1728"/>
      <c r="F10" s="1666">
        <f>ROUND(100/'数据-取费表'!B14,0)</f>
        <v>114</v>
      </c>
      <c r="G10" s="1726"/>
      <c r="H10" s="1666">
        <f>ROUND(100/'数据-取费表'!B14,0)</f>
        <v>114</v>
      </c>
      <c r="I10" s="1726"/>
      <c r="J10" s="1666">
        <f>ROUND(100/'数据-取费表'!B14,0)</f>
        <v>114</v>
      </c>
      <c r="K10" s="1938"/>
      <c r="L10" s="2966"/>
      <c r="M10" s="2967"/>
      <c r="N10" s="2967"/>
      <c r="O10" s="3012"/>
      <c r="P10" s="3611"/>
      <c r="Q10" s="1603" t="str">
        <f t="shared" si="6"/>
        <v>土地使用年限（年）</v>
      </c>
      <c r="R10" s="1649" t="s">
        <v>25</v>
      </c>
      <c r="S10" s="1650">
        <f t="shared" si="0"/>
        <v>114</v>
      </c>
      <c r="T10" s="1649" t="s">
        <v>25</v>
      </c>
      <c r="U10" s="1650">
        <f t="shared" si="1"/>
        <v>114</v>
      </c>
      <c r="V10" s="1649" t="s">
        <v>25</v>
      </c>
      <c r="W10" s="1650">
        <f t="shared" si="2"/>
        <v>114</v>
      </c>
      <c r="X10" s="1651"/>
      <c r="Y10" s="3446"/>
      <c r="Z10" s="1662" t="str">
        <f t="shared" si="7"/>
        <v>土地使用年限（年）</v>
      </c>
      <c r="AA10" s="1652">
        <f t="shared" si="3"/>
        <v>0.8771929824561403</v>
      </c>
      <c r="AB10" s="1652">
        <f t="shared" si="4"/>
        <v>0.8771929824561403</v>
      </c>
      <c r="AC10" s="1652">
        <f t="shared" si="5"/>
        <v>0.8771929824561403</v>
      </c>
    </row>
    <row r="11" spans="1:30" ht="15">
      <c r="A11" s="1671"/>
      <c r="B11" s="1664" t="s">
        <v>2208</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11"/>
      <c r="Q11" s="1603" t="str">
        <f t="shared" si="6"/>
        <v>容积率</v>
      </c>
      <c r="R11" s="1649" t="s">
        <v>25</v>
      </c>
      <c r="S11" s="1650" t="e">
        <f t="shared" si="0"/>
        <v>#N/A</v>
      </c>
      <c r="T11" s="1649" t="s">
        <v>25</v>
      </c>
      <c r="U11" s="1650" t="e">
        <f t="shared" si="1"/>
        <v>#N/A</v>
      </c>
      <c r="V11" s="1649" t="s">
        <v>25</v>
      </c>
      <c r="W11" s="1650" t="e">
        <f t="shared" si="2"/>
        <v>#N/A</v>
      </c>
      <c r="X11" s="1651"/>
      <c r="Y11" s="3446"/>
      <c r="Z11" s="1662" t="str">
        <f t="shared" si="7"/>
        <v>容积率</v>
      </c>
      <c r="AA11" s="1652" t="e">
        <f t="shared" si="3"/>
        <v>#N/A</v>
      </c>
      <c r="AB11" s="1652" t="e">
        <f t="shared" si="4"/>
        <v>#N/A</v>
      </c>
      <c r="AC11" s="1652" t="e">
        <f t="shared" si="5"/>
        <v>#N/A</v>
      </c>
    </row>
    <row r="12" spans="1:30" s="1653" customFormat="1" ht="15">
      <c r="A12" s="1674"/>
      <c r="B12" s="1675" t="s">
        <v>2386</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11"/>
      <c r="Q12" s="1603" t="str">
        <f t="shared" si="6"/>
        <v>配建</v>
      </c>
      <c r="R12" s="1649" t="s">
        <v>25</v>
      </c>
      <c r="S12" s="1650">
        <f t="shared" si="0"/>
        <v>100</v>
      </c>
      <c r="T12" s="1649" t="s">
        <v>25</v>
      </c>
      <c r="U12" s="1650">
        <f t="shared" si="1"/>
        <v>100</v>
      </c>
      <c r="V12" s="1649" t="s">
        <v>25</v>
      </c>
      <c r="W12" s="1650">
        <f t="shared" si="2"/>
        <v>100</v>
      </c>
      <c r="X12" s="1651"/>
      <c r="Y12" s="3446"/>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11"/>
      <c r="Q13" s="1603">
        <f t="shared" si="6"/>
        <v>111</v>
      </c>
      <c r="R13" s="1649" t="s">
        <v>25</v>
      </c>
      <c r="S13" s="1650">
        <f t="shared" si="0"/>
        <v>100</v>
      </c>
      <c r="T13" s="1649" t="s">
        <v>25</v>
      </c>
      <c r="U13" s="1650">
        <f t="shared" si="1"/>
        <v>100</v>
      </c>
      <c r="V13" s="1649" t="s">
        <v>25</v>
      </c>
      <c r="W13" s="1650">
        <f t="shared" si="2"/>
        <v>100</v>
      </c>
      <c r="X13" s="1651"/>
      <c r="Y13" s="3446"/>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11"/>
      <c r="Q14" s="1603">
        <f t="shared" si="6"/>
        <v>111</v>
      </c>
      <c r="R14" s="1649" t="s">
        <v>25</v>
      </c>
      <c r="S14" s="1650">
        <f t="shared" si="0"/>
        <v>100</v>
      </c>
      <c r="T14" s="1649" t="s">
        <v>25</v>
      </c>
      <c r="U14" s="1650">
        <f t="shared" si="1"/>
        <v>100</v>
      </c>
      <c r="V14" s="1649" t="s">
        <v>25</v>
      </c>
      <c r="W14" s="1650">
        <f t="shared" si="2"/>
        <v>100</v>
      </c>
      <c r="X14" s="1651"/>
      <c r="Y14" s="3446"/>
      <c r="Z14" s="1662">
        <f t="shared" si="7"/>
        <v>111</v>
      </c>
      <c r="AA14" s="1652">
        <f>D14/F14</f>
        <v>1</v>
      </c>
      <c r="AB14" s="1652">
        <f>D14/H14</f>
        <v>1</v>
      </c>
      <c r="AC14" s="1652">
        <f>D14/J14</f>
        <v>1</v>
      </c>
    </row>
    <row r="15" spans="1:30" ht="99.75">
      <c r="A15" s="1631" t="s">
        <v>2209</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14" t="s">
        <v>2210</v>
      </c>
      <c r="Q15" s="1584" t="str">
        <f t="shared" si="6"/>
        <v>居住社区成熟度</v>
      </c>
      <c r="R15" s="1694" t="s">
        <v>25</v>
      </c>
      <c r="S15" s="1695">
        <f t="shared" si="0"/>
        <v>100</v>
      </c>
      <c r="T15" s="1694" t="s">
        <v>25</v>
      </c>
      <c r="U15" s="1695">
        <f t="shared" si="1"/>
        <v>100</v>
      </c>
      <c r="V15" s="1694" t="s">
        <v>25</v>
      </c>
      <c r="W15" s="1695">
        <f t="shared" si="2"/>
        <v>100</v>
      </c>
      <c r="X15" s="1634"/>
      <c r="Y15" s="3614" t="s">
        <v>2210</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15"/>
      <c r="Q16" s="1584"/>
      <c r="R16" s="1694"/>
      <c r="S16" s="1695"/>
      <c r="T16" s="1694"/>
      <c r="U16" s="1695"/>
      <c r="V16" s="1694"/>
      <c r="W16" s="1695"/>
      <c r="X16" s="1634"/>
      <c r="Y16" s="3615"/>
      <c r="Z16" s="1696"/>
      <c r="AA16" s="1697">
        <v>1</v>
      </c>
      <c r="AB16" s="1697">
        <v>1</v>
      </c>
      <c r="AC16" s="1697">
        <v>1</v>
      </c>
    </row>
    <row r="17" spans="1:29" ht="71.25">
      <c r="A17" s="1636"/>
      <c r="B17" s="1945" t="s">
        <v>2295</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15"/>
      <c r="Q17" s="1584" t="str">
        <f>B17</f>
        <v>商业繁华度</v>
      </c>
      <c r="R17" s="1694" t="s">
        <v>25</v>
      </c>
      <c r="S17" s="1695">
        <f>F17</f>
        <v>100</v>
      </c>
      <c r="T17" s="1694" t="s">
        <v>25</v>
      </c>
      <c r="U17" s="1695">
        <f>H17</f>
        <v>100</v>
      </c>
      <c r="V17" s="1694" t="s">
        <v>25</v>
      </c>
      <c r="W17" s="1695">
        <f>J17</f>
        <v>100</v>
      </c>
      <c r="X17" s="1634"/>
      <c r="Y17" s="3615"/>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15"/>
      <c r="Q18" s="1584"/>
      <c r="R18" s="1694"/>
      <c r="S18" s="1695"/>
      <c r="T18" s="1694"/>
      <c r="U18" s="1695"/>
      <c r="V18" s="1694"/>
      <c r="W18" s="1695"/>
      <c r="X18" s="1634"/>
      <c r="Y18" s="3615"/>
      <c r="Z18" s="1696"/>
      <c r="AA18" s="1697">
        <v>1</v>
      </c>
      <c r="AB18" s="1697">
        <v>1</v>
      </c>
      <c r="AC18" s="1697">
        <v>1</v>
      </c>
    </row>
    <row r="19" spans="1:29" ht="71.25">
      <c r="A19" s="1636"/>
      <c r="B19" s="1945" t="s">
        <v>2324</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15"/>
      <c r="Q19" s="1584" t="str">
        <f>B19</f>
        <v>办公集聚程度</v>
      </c>
      <c r="R19" s="1694" t="s">
        <v>25</v>
      </c>
      <c r="S19" s="1695">
        <f>F19</f>
        <v>100</v>
      </c>
      <c r="T19" s="1694" t="s">
        <v>25</v>
      </c>
      <c r="U19" s="1695">
        <f>H19</f>
        <v>100</v>
      </c>
      <c r="V19" s="1694" t="s">
        <v>25</v>
      </c>
      <c r="W19" s="1695">
        <f>J19</f>
        <v>100</v>
      </c>
      <c r="X19" s="1634"/>
      <c r="Y19" s="3615"/>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15"/>
      <c r="Q20" s="1584"/>
      <c r="R20" s="1694"/>
      <c r="S20" s="1695"/>
      <c r="T20" s="1694"/>
      <c r="U20" s="1695"/>
      <c r="V20" s="1694"/>
      <c r="W20" s="1695"/>
      <c r="X20" s="1634"/>
      <c r="Y20" s="3615"/>
      <c r="Z20" s="1696"/>
      <c r="AA20" s="1697">
        <v>1</v>
      </c>
      <c r="AB20" s="1697">
        <v>1</v>
      </c>
      <c r="AC20" s="1697">
        <v>1</v>
      </c>
    </row>
    <row r="21" spans="1:29" ht="85.5">
      <c r="A21" s="1636"/>
      <c r="B21" s="1945" t="s">
        <v>2347</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15"/>
      <c r="Q21" s="1584" t="str">
        <f>B21</f>
        <v>交通便捷度</v>
      </c>
      <c r="R21" s="1694" t="s">
        <v>25</v>
      </c>
      <c r="S21" s="1695">
        <f>F21</f>
        <v>100</v>
      </c>
      <c r="T21" s="1694" t="s">
        <v>25</v>
      </c>
      <c r="U21" s="1695">
        <f>H21</f>
        <v>100</v>
      </c>
      <c r="V21" s="1694" t="s">
        <v>25</v>
      </c>
      <c r="W21" s="1695">
        <f>J21</f>
        <v>100</v>
      </c>
      <c r="X21" s="1634"/>
      <c r="Y21" s="3615"/>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15"/>
      <c r="Q22" s="1584"/>
      <c r="R22" s="1694"/>
      <c r="S22" s="1695"/>
      <c r="T22" s="1694"/>
      <c r="U22" s="1695"/>
      <c r="V22" s="1694"/>
      <c r="W22" s="1695"/>
      <c r="X22" s="1634"/>
      <c r="Y22" s="3615"/>
      <c r="Z22" s="1696"/>
      <c r="AA22" s="1697">
        <v>1</v>
      </c>
      <c r="AB22" s="1697">
        <v>1</v>
      </c>
      <c r="AC22" s="1697">
        <v>1</v>
      </c>
    </row>
    <row r="23" spans="1:29" ht="15">
      <c r="A23" s="1636"/>
      <c r="B23" s="1426" t="s">
        <v>2387</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15"/>
      <c r="Q23" s="1584" t="str">
        <f t="shared" ref="Q23:Q37" si="8">B23</f>
        <v>区域土地利用方向</v>
      </c>
      <c r="R23" s="1694" t="s">
        <v>25</v>
      </c>
      <c r="S23" s="1695">
        <f>F23</f>
        <v>100</v>
      </c>
      <c r="T23" s="1694" t="s">
        <v>25</v>
      </c>
      <c r="U23" s="1695">
        <f>H23</f>
        <v>100</v>
      </c>
      <c r="V23" s="1694" t="s">
        <v>25</v>
      </c>
      <c r="W23" s="1695">
        <f>J23</f>
        <v>100</v>
      </c>
      <c r="X23" s="1634"/>
      <c r="Y23" s="3615"/>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15"/>
      <c r="Q24" s="1584"/>
      <c r="R24" s="1694"/>
      <c r="S24" s="1695"/>
      <c r="T24" s="1694"/>
      <c r="U24" s="1695"/>
      <c r="V24" s="1694"/>
      <c r="W24" s="1695"/>
      <c r="X24" s="1634"/>
      <c r="Y24" s="3615"/>
      <c r="Z24" s="1696"/>
      <c r="AA24" s="1697"/>
      <c r="AB24" s="1697"/>
      <c r="AC24" s="1697"/>
    </row>
    <row r="25" spans="1:29" ht="57">
      <c r="A25" s="1636"/>
      <c r="B25" s="1950" t="s">
        <v>2388</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15"/>
      <c r="Q25" s="1584" t="str">
        <f t="shared" si="8"/>
        <v>自然及人文环境状况</v>
      </c>
      <c r="R25" s="1694" t="s">
        <v>25</v>
      </c>
      <c r="S25" s="1695">
        <f>F25</f>
        <v>100</v>
      </c>
      <c r="T25" s="1694" t="s">
        <v>25</v>
      </c>
      <c r="U25" s="1695">
        <f>H25</f>
        <v>100</v>
      </c>
      <c r="V25" s="1694" t="s">
        <v>25</v>
      </c>
      <c r="W25" s="1695">
        <f>J25</f>
        <v>100</v>
      </c>
      <c r="X25" s="1634"/>
      <c r="Y25" s="3615"/>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15"/>
      <c r="Q26" s="1584"/>
      <c r="R26" s="1694"/>
      <c r="S26" s="1695"/>
      <c r="T26" s="1694"/>
      <c r="U26" s="1695"/>
      <c r="V26" s="1694"/>
      <c r="W26" s="1695"/>
      <c r="X26" s="1634"/>
      <c r="Y26" s="3615"/>
      <c r="Z26" s="1696"/>
      <c r="AA26" s="1697">
        <v>1</v>
      </c>
      <c r="AB26" s="1697">
        <v>1</v>
      </c>
      <c r="AC26" s="1697">
        <v>1</v>
      </c>
    </row>
    <row r="27" spans="1:29" ht="42.75">
      <c r="A27" s="1636"/>
      <c r="B27" s="1950" t="s">
        <v>2296</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15"/>
      <c r="Q27" s="1603" t="str">
        <f t="shared" ref="Q27" si="9">B27</f>
        <v>公共配套设施</v>
      </c>
      <c r="R27" s="1649" t="s">
        <v>25</v>
      </c>
      <c r="S27" s="1650">
        <f>F27</f>
        <v>100</v>
      </c>
      <c r="T27" s="1649" t="s">
        <v>25</v>
      </c>
      <c r="U27" s="1650">
        <f>H27</f>
        <v>100</v>
      </c>
      <c r="V27" s="1649" t="s">
        <v>25</v>
      </c>
      <c r="W27" s="1650">
        <f>J27</f>
        <v>100</v>
      </c>
      <c r="X27" s="1634"/>
      <c r="Y27" s="3615"/>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15"/>
      <c r="Q28" s="1584"/>
      <c r="R28" s="1694"/>
      <c r="S28" s="1695"/>
      <c r="T28" s="1694"/>
      <c r="U28" s="1695"/>
      <c r="V28" s="1694"/>
      <c r="W28" s="1695"/>
      <c r="X28" s="1634"/>
      <c r="Y28" s="3615"/>
      <c r="Z28" s="1662"/>
      <c r="AA28" s="1697">
        <v>1</v>
      </c>
      <c r="AB28" s="1697">
        <v>1</v>
      </c>
      <c r="AC28" s="1697">
        <v>1</v>
      </c>
    </row>
    <row r="29" spans="1:29" s="1653" customFormat="1" ht="28.5">
      <c r="A29" s="1956"/>
      <c r="B29" s="1950" t="s">
        <v>2297</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15"/>
      <c r="Q29" s="1603" t="str">
        <f t="shared" si="8"/>
        <v>基础设施水平</v>
      </c>
      <c r="R29" s="1649" t="s">
        <v>25</v>
      </c>
      <c r="S29" s="1650">
        <f>F29</f>
        <v>100</v>
      </c>
      <c r="T29" s="1649" t="s">
        <v>25</v>
      </c>
      <c r="U29" s="1650">
        <f>H29</f>
        <v>100</v>
      </c>
      <c r="V29" s="1649" t="s">
        <v>25</v>
      </c>
      <c r="W29" s="1650">
        <f>J29</f>
        <v>100</v>
      </c>
      <c r="X29" s="1651"/>
      <c r="Y29" s="3615"/>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15"/>
      <c r="Q30" s="1603"/>
      <c r="R30" s="1649"/>
      <c r="S30" s="1650"/>
      <c r="T30" s="1649"/>
      <c r="U30" s="1650"/>
      <c r="V30" s="1649"/>
      <c r="W30" s="1650"/>
      <c r="X30" s="1651"/>
      <c r="Y30" s="3615"/>
      <c r="Z30" s="1662"/>
      <c r="AA30" s="1697">
        <v>1</v>
      </c>
      <c r="AB30" s="1697">
        <v>1</v>
      </c>
      <c r="AC30" s="1697">
        <v>1</v>
      </c>
    </row>
    <row r="31" spans="1:29" ht="15">
      <c r="A31" s="1636"/>
      <c r="B31" s="1947" t="s">
        <v>2298</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15"/>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15"/>
      <c r="Z31" s="1696" t="str">
        <f t="shared" ref="Z31:Z45" si="13">Q31</f>
        <v>临街状况</v>
      </c>
      <c r="AA31" s="1697">
        <f t="shared" si="3"/>
        <v>1</v>
      </c>
      <c r="AB31" s="1697">
        <f t="shared" si="4"/>
        <v>1</v>
      </c>
      <c r="AC31" s="1697">
        <f t="shared" si="5"/>
        <v>1</v>
      </c>
    </row>
    <row r="32" spans="1:29" ht="27">
      <c r="A32" s="1636"/>
      <c r="B32" s="1950" t="s">
        <v>2328</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15"/>
      <c r="Q32" s="1584" t="str">
        <f t="shared" si="8"/>
        <v>毗邻道路的类型与等级</v>
      </c>
      <c r="R32" s="1694" t="s">
        <v>25</v>
      </c>
      <c r="S32" s="1695">
        <f t="shared" si="10"/>
        <v>100</v>
      </c>
      <c r="T32" s="1694" t="s">
        <v>25</v>
      </c>
      <c r="U32" s="1695">
        <f t="shared" si="11"/>
        <v>100</v>
      </c>
      <c r="V32" s="1694" t="s">
        <v>25</v>
      </c>
      <c r="W32" s="1695">
        <f t="shared" si="12"/>
        <v>100</v>
      </c>
      <c r="X32" s="1634"/>
      <c r="Y32" s="3615"/>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15"/>
      <c r="Q33" s="1584"/>
      <c r="R33" s="1694"/>
      <c r="S33" s="1695"/>
      <c r="T33" s="1694"/>
      <c r="U33" s="1695"/>
      <c r="V33" s="1694"/>
      <c r="W33" s="1695"/>
      <c r="X33" s="1634"/>
      <c r="Y33" s="3615"/>
      <c r="Z33" s="1696"/>
      <c r="AA33" s="1697">
        <v>1</v>
      </c>
      <c r="AB33" s="1697">
        <v>1</v>
      </c>
      <c r="AC33" s="1697">
        <v>1</v>
      </c>
    </row>
    <row r="34" spans="1:29" ht="15">
      <c r="A34" s="1636"/>
      <c r="B34" s="1959" t="s">
        <v>2389</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15"/>
      <c r="Q34" s="1584" t="str">
        <f t="shared" si="8"/>
        <v>土地级别</v>
      </c>
      <c r="R34" s="1694" t="s">
        <v>25</v>
      </c>
      <c r="S34" s="1695">
        <f t="shared" si="10"/>
        <v>100</v>
      </c>
      <c r="T34" s="1694" t="s">
        <v>25</v>
      </c>
      <c r="U34" s="1695">
        <f t="shared" si="11"/>
        <v>100</v>
      </c>
      <c r="V34" s="1694" t="s">
        <v>25</v>
      </c>
      <c r="W34" s="1695">
        <f t="shared" si="12"/>
        <v>100</v>
      </c>
      <c r="X34" s="1634"/>
      <c r="Y34" s="3615"/>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15"/>
      <c r="Q35" s="1584">
        <f t="shared" si="8"/>
        <v>111</v>
      </c>
      <c r="R35" s="1694" t="s">
        <v>25</v>
      </c>
      <c r="S35" s="1695">
        <f t="shared" si="10"/>
        <v>100</v>
      </c>
      <c r="T35" s="1694" t="s">
        <v>25</v>
      </c>
      <c r="U35" s="1695">
        <f t="shared" si="11"/>
        <v>100</v>
      </c>
      <c r="V35" s="1694" t="s">
        <v>25</v>
      </c>
      <c r="W35" s="1695">
        <f t="shared" si="12"/>
        <v>100</v>
      </c>
      <c r="X35" s="1634"/>
      <c r="Y35" s="3615"/>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53" t="s">
        <v>2216</v>
      </c>
      <c r="Q36" s="1584">
        <f t="shared" si="8"/>
        <v>111</v>
      </c>
      <c r="R36" s="1694" t="s">
        <v>25</v>
      </c>
      <c r="S36" s="1695">
        <f t="shared" si="10"/>
        <v>100</v>
      </c>
      <c r="T36" s="1694" t="s">
        <v>25</v>
      </c>
      <c r="U36" s="1695">
        <f t="shared" si="11"/>
        <v>100</v>
      </c>
      <c r="V36" s="1694" t="s">
        <v>25</v>
      </c>
      <c r="W36" s="1695">
        <f t="shared" si="12"/>
        <v>100</v>
      </c>
      <c r="X36" s="1634"/>
      <c r="Y36" s="3619" t="s">
        <v>2216</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19"/>
      <c r="Q37" s="1584">
        <f t="shared" si="8"/>
        <v>111</v>
      </c>
      <c r="R37" s="1736" t="s">
        <v>25</v>
      </c>
      <c r="S37" s="1737">
        <f t="shared" si="10"/>
        <v>100</v>
      </c>
      <c r="T37" s="1736" t="s">
        <v>25</v>
      </c>
      <c r="U37" s="1737">
        <f t="shared" si="11"/>
        <v>100</v>
      </c>
      <c r="V37" s="1736" t="s">
        <v>25</v>
      </c>
      <c r="W37" s="1737">
        <f t="shared" si="12"/>
        <v>100</v>
      </c>
      <c r="X37" s="1738"/>
      <c r="Y37" s="3619"/>
      <c r="Z37" s="1739">
        <f t="shared" si="13"/>
        <v>111</v>
      </c>
      <c r="AA37" s="1697">
        <f t="shared" si="3"/>
        <v>1</v>
      </c>
      <c r="AB37" s="1697">
        <f t="shared" si="4"/>
        <v>1</v>
      </c>
      <c r="AC37" s="1697">
        <f t="shared" si="5"/>
        <v>1</v>
      </c>
    </row>
    <row r="38" spans="1:29" ht="15">
      <c r="A38" s="1631" t="s">
        <v>2214</v>
      </c>
      <c r="B38" s="1712" t="s">
        <v>2390</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19"/>
      <c r="Q38" s="1584" t="str">
        <f>B38</f>
        <v>宗地面积</v>
      </c>
      <c r="R38" s="1694" t="s">
        <v>25</v>
      </c>
      <c r="S38" s="1695" t="e">
        <f t="shared" si="10"/>
        <v>#N/A</v>
      </c>
      <c r="T38" s="1694" t="s">
        <v>25</v>
      </c>
      <c r="U38" s="1695" t="e">
        <f t="shared" si="11"/>
        <v>#N/A</v>
      </c>
      <c r="V38" s="1694" t="s">
        <v>25</v>
      </c>
      <c r="W38" s="1695" t="e">
        <f t="shared" si="12"/>
        <v>#N/A</v>
      </c>
      <c r="X38" s="1634"/>
      <c r="Y38" s="3619"/>
      <c r="Z38" s="1696" t="str">
        <f t="shared" si="13"/>
        <v>宗地面积</v>
      </c>
      <c r="AA38" s="1697" t="e">
        <f t="shared" si="3"/>
        <v>#N/A</v>
      </c>
      <c r="AB38" s="1697" t="e">
        <f t="shared" si="4"/>
        <v>#N/A</v>
      </c>
      <c r="AC38" s="1697" t="e">
        <f t="shared" si="5"/>
        <v>#N/A</v>
      </c>
    </row>
    <row r="39" spans="1:29" ht="15">
      <c r="A39" s="1741"/>
      <c r="B39" s="1664" t="s">
        <v>2391</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19"/>
      <c r="Q39" s="1584" t="str">
        <f t="shared" ref="Q39:Q45" si="14">B39</f>
        <v>宗地形状</v>
      </c>
      <c r="R39" s="1694" t="s">
        <v>25</v>
      </c>
      <c r="S39" s="1695">
        <f t="shared" si="10"/>
        <v>100</v>
      </c>
      <c r="T39" s="1694" t="s">
        <v>25</v>
      </c>
      <c r="U39" s="1695">
        <f t="shared" si="11"/>
        <v>100</v>
      </c>
      <c r="V39" s="1694" t="s">
        <v>25</v>
      </c>
      <c r="W39" s="1695">
        <f t="shared" si="12"/>
        <v>100</v>
      </c>
      <c r="X39" s="1634"/>
      <c r="Y39" s="3619"/>
      <c r="Z39" s="1696" t="str">
        <f t="shared" si="13"/>
        <v>宗地形状</v>
      </c>
      <c r="AA39" s="1697">
        <f t="shared" si="3"/>
        <v>1</v>
      </c>
      <c r="AB39" s="1697">
        <f t="shared" si="4"/>
        <v>1</v>
      </c>
      <c r="AC39" s="1697">
        <f t="shared" si="5"/>
        <v>1</v>
      </c>
    </row>
    <row r="40" spans="1:29" ht="15">
      <c r="A40" s="1741"/>
      <c r="B40" s="1664" t="s">
        <v>2392</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19"/>
      <c r="Q40" s="1584" t="str">
        <f t="shared" si="14"/>
        <v>临街宽度及深度</v>
      </c>
      <c r="R40" s="1694" t="s">
        <v>25</v>
      </c>
      <c r="S40" s="1695">
        <f t="shared" si="10"/>
        <v>100</v>
      </c>
      <c r="T40" s="1694" t="s">
        <v>25</v>
      </c>
      <c r="U40" s="1695">
        <f t="shared" si="11"/>
        <v>100</v>
      </c>
      <c r="V40" s="1694" t="s">
        <v>25</v>
      </c>
      <c r="W40" s="1695">
        <f t="shared" si="12"/>
        <v>100</v>
      </c>
      <c r="X40" s="1634"/>
      <c r="Y40" s="3619"/>
      <c r="Z40" s="1696" t="str">
        <f t="shared" si="13"/>
        <v>临街宽度及深度</v>
      </c>
      <c r="AA40" s="1697">
        <f t="shared" si="3"/>
        <v>1</v>
      </c>
      <c r="AB40" s="1697">
        <f t="shared" si="4"/>
        <v>1</v>
      </c>
      <c r="AC40" s="1697">
        <f t="shared" si="5"/>
        <v>1</v>
      </c>
    </row>
    <row r="41" spans="1:29" s="1653" customFormat="1" ht="15">
      <c r="A41" s="1744"/>
      <c r="B41" s="1664" t="s">
        <v>2393</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19"/>
      <c r="Q41" s="1584" t="str">
        <f t="shared" si="14"/>
        <v>宗地开发程度</v>
      </c>
      <c r="R41" s="1649" t="s">
        <v>25</v>
      </c>
      <c r="S41" s="1650">
        <f t="shared" si="10"/>
        <v>100</v>
      </c>
      <c r="T41" s="1649" t="s">
        <v>25</v>
      </c>
      <c r="U41" s="1650">
        <f t="shared" si="11"/>
        <v>100</v>
      </c>
      <c r="V41" s="1649" t="s">
        <v>25</v>
      </c>
      <c r="W41" s="1650">
        <f t="shared" si="12"/>
        <v>100</v>
      </c>
      <c r="X41" s="1651"/>
      <c r="Y41" s="3619"/>
      <c r="Z41" s="1662" t="str">
        <f t="shared" si="13"/>
        <v>宗地开发程度</v>
      </c>
      <c r="AA41" s="1652">
        <f t="shared" si="3"/>
        <v>1</v>
      </c>
      <c r="AB41" s="1652">
        <f t="shared" si="4"/>
        <v>1</v>
      </c>
      <c r="AC41" s="1652">
        <f t="shared" si="5"/>
        <v>1</v>
      </c>
    </row>
    <row r="42" spans="1:29" ht="15">
      <c r="A42" s="1741"/>
      <c r="B42" s="1664" t="s">
        <v>2394</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19" t="s">
        <v>2216</v>
      </c>
      <c r="Q42" s="1584" t="str">
        <f t="shared" si="14"/>
        <v>工程地质条件</v>
      </c>
      <c r="R42" s="1694" t="s">
        <v>25</v>
      </c>
      <c r="S42" s="1695">
        <f t="shared" si="10"/>
        <v>100</v>
      </c>
      <c r="T42" s="1694" t="s">
        <v>25</v>
      </c>
      <c r="U42" s="1695">
        <f t="shared" si="11"/>
        <v>100</v>
      </c>
      <c r="V42" s="1694" t="s">
        <v>25</v>
      </c>
      <c r="W42" s="1695">
        <f t="shared" si="12"/>
        <v>100</v>
      </c>
      <c r="X42" s="1634"/>
      <c r="Y42" s="3619" t="s">
        <v>2216</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19"/>
      <c r="Q43" s="1584">
        <f t="shared" si="14"/>
        <v>111</v>
      </c>
      <c r="R43" s="1694" t="s">
        <v>25</v>
      </c>
      <c r="S43" s="1695">
        <f t="shared" si="10"/>
        <v>100</v>
      </c>
      <c r="T43" s="1694" t="s">
        <v>25</v>
      </c>
      <c r="U43" s="1695">
        <f t="shared" si="11"/>
        <v>100</v>
      </c>
      <c r="V43" s="1694" t="s">
        <v>25</v>
      </c>
      <c r="W43" s="1695">
        <f t="shared" si="12"/>
        <v>100</v>
      </c>
      <c r="X43" s="1634"/>
      <c r="Y43" s="3619"/>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19"/>
      <c r="Q44" s="1584">
        <f t="shared" si="14"/>
        <v>111</v>
      </c>
      <c r="R44" s="1694" t="s">
        <v>25</v>
      </c>
      <c r="S44" s="1695">
        <f t="shared" si="10"/>
        <v>100</v>
      </c>
      <c r="T44" s="1694" t="s">
        <v>25</v>
      </c>
      <c r="U44" s="1695">
        <f t="shared" si="11"/>
        <v>100</v>
      </c>
      <c r="V44" s="1694" t="s">
        <v>25</v>
      </c>
      <c r="W44" s="1695">
        <f t="shared" si="12"/>
        <v>100</v>
      </c>
      <c r="X44" s="1634"/>
      <c r="Y44" s="3619"/>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19"/>
      <c r="Q45" s="1584">
        <f t="shared" si="14"/>
        <v>111</v>
      </c>
      <c r="R45" s="1736" t="s">
        <v>25</v>
      </c>
      <c r="S45" s="1737">
        <f t="shared" si="10"/>
        <v>100</v>
      </c>
      <c r="T45" s="1736" t="s">
        <v>25</v>
      </c>
      <c r="U45" s="1737">
        <f t="shared" si="11"/>
        <v>100</v>
      </c>
      <c r="V45" s="1736" t="s">
        <v>25</v>
      </c>
      <c r="W45" s="1737">
        <f t="shared" si="12"/>
        <v>100</v>
      </c>
      <c r="X45" s="1738"/>
      <c r="Y45" s="3619"/>
      <c r="Z45" s="1739">
        <f t="shared" si="13"/>
        <v>111</v>
      </c>
      <c r="AA45" s="1697">
        <f t="shared" si="3"/>
        <v>1</v>
      </c>
      <c r="AB45" s="1697">
        <f t="shared" si="4"/>
        <v>1</v>
      </c>
      <c r="AC45" s="1697">
        <f t="shared" si="5"/>
        <v>1</v>
      </c>
    </row>
    <row r="46" spans="1:29" ht="15">
      <c r="A46" s="1750" t="s">
        <v>2358</v>
      </c>
      <c r="B46" s="1975" t="s">
        <v>2395</v>
      </c>
      <c r="C46" s="1976" t="s">
        <v>1</v>
      </c>
      <c r="D46" s="1977"/>
      <c r="E46" s="1978"/>
      <c r="F46" s="1979"/>
      <c r="G46" s="1980"/>
      <c r="H46" s="1981"/>
      <c r="I46" s="1978"/>
      <c r="J46" s="1981"/>
      <c r="K46" s="1982"/>
      <c r="L46" s="2970"/>
      <c r="N46" s="2965"/>
      <c r="P46" s="3611" t="str">
        <f>A46</f>
        <v>成交单价</v>
      </c>
      <c r="Q46" s="3611"/>
      <c r="R46" s="3648">
        <f>E46</f>
        <v>0</v>
      </c>
      <c r="S46" s="3648"/>
      <c r="T46" s="3648">
        <f>G46</f>
        <v>0</v>
      </c>
      <c r="U46" s="3648"/>
      <c r="V46" s="3648">
        <f>I46</f>
        <v>0</v>
      </c>
      <c r="W46" s="3648"/>
      <c r="X46" s="1760"/>
      <c r="Y46" s="1761"/>
      <c r="Z46" s="1760"/>
      <c r="AA46" s="1760"/>
      <c r="AB46" s="1760"/>
      <c r="AC46" s="1760"/>
    </row>
    <row r="47" spans="1:29" ht="15.75" thickBot="1">
      <c r="A47" s="1762" t="s">
        <v>2311</v>
      </c>
      <c r="B47" s="1983"/>
      <c r="C47" s="1984" t="e">
        <f>R48</f>
        <v>#DIV/0!</v>
      </c>
      <c r="D47" s="1765" t="s">
        <v>2683</v>
      </c>
      <c r="E47" s="1984" t="e">
        <f>R47</f>
        <v>#DIV/0!</v>
      </c>
      <c r="F47" s="1767"/>
      <c r="G47" s="1985" t="e">
        <f>T47</f>
        <v>#DIV/0!</v>
      </c>
      <c r="H47" s="1767"/>
      <c r="I47" s="1984" t="e">
        <f>V47</f>
        <v>#DIV/0!</v>
      </c>
      <c r="J47" s="1767"/>
      <c r="K47" s="2479">
        <f>F47+H47+J47</f>
        <v>0</v>
      </c>
      <c r="L47" s="2970"/>
      <c r="P47" s="3611" t="str">
        <f>A47</f>
        <v>比较价值（元/平方米）</v>
      </c>
      <c r="Q47" s="3611"/>
      <c r="R47" s="3696" t="e">
        <f>ROUND(PRODUCT(R46,AA7:AA45),0)</f>
        <v>#DIV/0!</v>
      </c>
      <c r="S47" s="3696"/>
      <c r="T47" s="3696" t="e">
        <f>ROUND(PRODUCT(T46,AB7:AB45),0)</f>
        <v>#DIV/0!</v>
      </c>
      <c r="U47" s="3696"/>
      <c r="V47" s="3696" t="e">
        <f>ROUND(PRODUCT(V46,AC7:AC45),0)</f>
        <v>#DIV/0!</v>
      </c>
      <c r="W47" s="3696"/>
      <c r="X47" s="1760"/>
      <c r="Y47" s="1760"/>
      <c r="Z47" s="1760"/>
      <c r="AA47" s="1760"/>
      <c r="AB47" s="1760"/>
      <c r="AC47" s="1760"/>
    </row>
    <row r="48" spans="1:29" ht="15.75" thickBot="1">
      <c r="A48" s="1768" t="s">
        <v>2334</v>
      </c>
      <c r="B48" s="1769"/>
      <c r="C48" s="1986" t="e">
        <f>R48</f>
        <v>#DIV/0!</v>
      </c>
      <c r="D48" s="1986"/>
      <c r="E48" s="1986"/>
      <c r="F48" s="1986"/>
      <c r="G48" s="1986"/>
      <c r="H48" s="1986"/>
      <c r="I48" s="1986"/>
      <c r="J48" s="1986"/>
      <c r="K48" s="1987"/>
      <c r="L48" s="2970"/>
      <c r="P48" s="3608" t="str">
        <f>A48</f>
        <v>估价对象XX用房的比较价值（楼面单价，元/平方米）</v>
      </c>
      <c r="Q48" s="3609"/>
      <c r="R48" s="3697" t="e">
        <f>ROUND(IF(D47="简单平均",AVERAGE(R47:W47),R47*F47+T47*H47+V47*J47),0)</f>
        <v>#DIV/0!</v>
      </c>
      <c r="S48" s="3697"/>
      <c r="T48" s="3697"/>
      <c r="U48" s="3697"/>
      <c r="V48" s="3697"/>
      <c r="W48" s="3697"/>
      <c r="X48" s="1760"/>
      <c r="Y48" s="1760"/>
      <c r="Z48" s="1760"/>
      <c r="AA48" s="1760"/>
      <c r="AB48" s="1760"/>
      <c r="AC48" s="1760"/>
    </row>
    <row r="49" spans="1:14">
      <c r="G49" s="2974"/>
    </row>
    <row r="51" spans="1:14" ht="13.5" customHeight="1">
      <c r="C51" s="383" t="s">
        <v>2313</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2314</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2315</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2396</v>
      </c>
      <c r="B55" s="1988" t="s">
        <v>2397</v>
      </c>
      <c r="C55" s="1989" t="s">
        <v>2398</v>
      </c>
      <c r="D55" s="1990" t="s">
        <v>2399</v>
      </c>
      <c r="E55" s="1991" t="s">
        <v>2400</v>
      </c>
      <c r="F55" s="1992" t="s">
        <v>2401</v>
      </c>
      <c r="G55" s="1887" t="s">
        <v>2402</v>
      </c>
      <c r="H55" s="1887" t="str">
        <f>项目基本情况!G8</f>
        <v>朝阳区</v>
      </c>
      <c r="I55" s="1562" t="s">
        <v>2403</v>
      </c>
      <c r="J55" s="1993"/>
      <c r="K55" s="1774"/>
    </row>
    <row r="56" spans="1:14" s="2000" customFormat="1">
      <c r="A56" s="1994" t="s">
        <v>2404</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2405</v>
      </c>
      <c r="B57" s="2002" t="e">
        <f>ROUND($C$48*C57*D57,0)</f>
        <v>#DIV/0!</v>
      </c>
      <c r="C57" s="50">
        <f>IF($C$55="北京市系数",G57,H57)</f>
        <v>0.8</v>
      </c>
      <c r="D57" s="2003">
        <v>0.25</v>
      </c>
      <c r="E57" s="1997">
        <v>0</v>
      </c>
      <c r="F57" s="1998" t="e">
        <f t="shared" si="15"/>
        <v>#DIV/0!</v>
      </c>
      <c r="G57" s="1999">
        <f>SUMIF(修正!$A$45:$A$56,项目基本情况!$F$9,修正!B45:B56)</f>
        <v>0.8</v>
      </c>
      <c r="H57" s="2004"/>
      <c r="I57" s="1635"/>
      <c r="J57" s="1878"/>
      <c r="K57" s="1879"/>
      <c r="L57" s="1879"/>
      <c r="M57" s="1635"/>
      <c r="N57" s="1635"/>
    </row>
    <row r="58" spans="1:14" s="2000" customFormat="1">
      <c r="A58" s="2001" t="s">
        <v>2406</v>
      </c>
      <c r="B58" s="2002" t="e">
        <f t="shared" ref="B58:B65" si="16">ROUND($C$48*C58*D58,0)</f>
        <v>#DIV/0!</v>
      </c>
      <c r="C58" s="50">
        <f t="shared" ref="C58:C65" si="17">IF($C$55="北京市系数",G58,H58)</f>
        <v>0.5</v>
      </c>
      <c r="D58" s="2003">
        <v>0.25</v>
      </c>
      <c r="E58" s="1997">
        <v>0</v>
      </c>
      <c r="F58" s="1998" t="e">
        <f t="shared" si="15"/>
        <v>#DIV/0!</v>
      </c>
      <c r="G58" s="1999">
        <f>SUMIF(修正!$A$45:$A$56,项目基本情况!$F$9,修正!C45:C56)</f>
        <v>0.5</v>
      </c>
      <c r="H58" s="2004"/>
      <c r="I58" s="1782"/>
      <c r="J58" s="1782"/>
      <c r="K58" s="2977"/>
      <c r="L58" s="2971"/>
      <c r="M58" s="1782"/>
      <c r="N58" s="1782"/>
    </row>
    <row r="59" spans="1:14" s="2000" customFormat="1">
      <c r="A59" s="2001" t="s">
        <v>2407</v>
      </c>
      <c r="B59" s="2002" t="e">
        <f t="shared" si="16"/>
        <v>#DIV/0!</v>
      </c>
      <c r="C59" s="50">
        <f t="shared" si="17"/>
        <v>0.36</v>
      </c>
      <c r="D59" s="2003">
        <v>0.25</v>
      </c>
      <c r="E59" s="1997">
        <v>0</v>
      </c>
      <c r="F59" s="1998" t="e">
        <f t="shared" si="15"/>
        <v>#DIV/0!</v>
      </c>
      <c r="G59" s="1999">
        <f>SUMIF(修正!$A$45:$A$56,项目基本情况!$F$9,修正!D45:D56)</f>
        <v>0.36</v>
      </c>
      <c r="H59" s="2004"/>
      <c r="I59" s="1635"/>
      <c r="J59" s="1878"/>
      <c r="K59" s="1879"/>
      <c r="L59" s="1879"/>
      <c r="M59" s="1635"/>
      <c r="N59" s="1635"/>
    </row>
    <row r="60" spans="1:14" s="2000" customFormat="1">
      <c r="A60" s="2001" t="s">
        <v>2408</v>
      </c>
      <c r="B60" s="2002" t="e">
        <f t="shared" si="16"/>
        <v>#DIV/0!</v>
      </c>
      <c r="C60" s="50">
        <f t="shared" si="17"/>
        <v>0.3</v>
      </c>
      <c r="D60" s="2003">
        <v>0.25</v>
      </c>
      <c r="E60" s="1997">
        <v>0</v>
      </c>
      <c r="F60" s="1998" t="e">
        <f t="shared" si="15"/>
        <v>#DIV/0!</v>
      </c>
      <c r="G60" s="1999">
        <f>SUMIF(修正!$A$45:$A$56,项目基本情况!$F$9,修正!E45:E56)</f>
        <v>0.3</v>
      </c>
      <c r="H60" s="2004"/>
      <c r="I60" s="1782"/>
      <c r="J60" s="1782"/>
      <c r="K60" s="2977"/>
      <c r="L60" s="2971"/>
      <c r="M60" s="1782"/>
      <c r="N60" s="1782"/>
    </row>
    <row r="61" spans="1:14" s="2000" customFormat="1">
      <c r="A61" s="2001" t="s">
        <v>2409</v>
      </c>
      <c r="B61" s="2002" t="e">
        <f t="shared" si="16"/>
        <v>#DIV/0!</v>
      </c>
      <c r="C61" s="50">
        <f t="shared" si="17"/>
        <v>0.3</v>
      </c>
      <c r="D61" s="2003">
        <v>0.25</v>
      </c>
      <c r="E61" s="1997">
        <v>0</v>
      </c>
      <c r="F61" s="1998" t="e">
        <f t="shared" si="15"/>
        <v>#DIV/0!</v>
      </c>
      <c r="G61" s="1999">
        <f>SUMIF(修正!A45:A56,项目基本情况!F9,修正!F45:F56)</f>
        <v>0.3</v>
      </c>
      <c r="H61" s="2004"/>
      <c r="I61" s="1635"/>
      <c r="J61" s="1878"/>
      <c r="K61" s="1879"/>
      <c r="L61" s="1879"/>
      <c r="M61" s="1635"/>
      <c r="N61" s="1635"/>
    </row>
    <row r="62" spans="1:14" s="2000" customFormat="1">
      <c r="A62" s="2001" t="s">
        <v>2410</v>
      </c>
      <c r="B62" s="2002" t="e">
        <f t="shared" si="16"/>
        <v>#DIV/0!</v>
      </c>
      <c r="C62" s="50">
        <f t="shared" si="17"/>
        <v>0.3</v>
      </c>
      <c r="D62" s="2003">
        <v>0.25</v>
      </c>
      <c r="E62" s="1997">
        <v>0</v>
      </c>
      <c r="F62" s="1998" t="e">
        <f t="shared" si="15"/>
        <v>#DIV/0!</v>
      </c>
      <c r="G62" s="1999">
        <f>SUMIF(修正!A45:A56,项目基本情况!F9,修正!G45:G56)</f>
        <v>0.3</v>
      </c>
      <c r="H62" s="2004"/>
      <c r="I62" s="1782"/>
      <c r="J62" s="1782"/>
      <c r="K62" s="2977"/>
      <c r="L62" s="2971"/>
      <c r="M62" s="1782"/>
      <c r="N62" s="1782"/>
    </row>
    <row r="63" spans="1:14" s="2000" customFormat="1">
      <c r="A63" s="2001" t="s">
        <v>2411</v>
      </c>
      <c r="B63" s="2002" t="e">
        <f t="shared" si="16"/>
        <v>#DIV/0!</v>
      </c>
      <c r="C63" s="50">
        <f>IF($C$55="北京市系数",G63,H63)</f>
        <v>0.25</v>
      </c>
      <c r="D63" s="2003">
        <v>0.25</v>
      </c>
      <c r="E63" s="1997">
        <v>0</v>
      </c>
      <c r="F63" s="1998" t="e">
        <f t="shared" si="15"/>
        <v>#DIV/0!</v>
      </c>
      <c r="G63" s="1999">
        <f>SUMIF(修正!A45:A56,项目基本情况!F9,修正!H45:H56)</f>
        <v>0.25</v>
      </c>
      <c r="H63" s="2004"/>
      <c r="I63" s="1635"/>
      <c r="J63" s="1878"/>
      <c r="K63" s="1879"/>
      <c r="L63" s="1879"/>
      <c r="M63" s="1635"/>
      <c r="N63" s="1635"/>
    </row>
    <row r="64" spans="1:14" s="2000" customFormat="1">
      <c r="A64" s="2001" t="s">
        <v>2412</v>
      </c>
      <c r="B64" s="2002" t="e">
        <f t="shared" si="16"/>
        <v>#DIV/0!</v>
      </c>
      <c r="C64" s="50">
        <f t="shared" si="17"/>
        <v>0.25</v>
      </c>
      <c r="D64" s="2003">
        <v>0.25</v>
      </c>
      <c r="E64" s="1997">
        <v>0</v>
      </c>
      <c r="F64" s="1998" t="e">
        <f t="shared" si="15"/>
        <v>#DIV/0!</v>
      </c>
      <c r="G64" s="1999">
        <f>G63</f>
        <v>0.25</v>
      </c>
      <c r="H64" s="2004"/>
      <c r="I64" s="1782"/>
      <c r="J64" s="1782"/>
      <c r="K64" s="2977"/>
      <c r="L64" s="2971"/>
      <c r="M64" s="1782"/>
      <c r="N64" s="1782"/>
    </row>
    <row r="65" spans="1:17" s="2000" customFormat="1">
      <c r="A65" s="2001" t="s">
        <v>2413</v>
      </c>
      <c r="B65" s="2002" t="e">
        <f t="shared" si="16"/>
        <v>#DIV/0!</v>
      </c>
      <c r="C65" s="50">
        <f t="shared" si="17"/>
        <v>0.25</v>
      </c>
      <c r="D65" s="2003">
        <v>0.25</v>
      </c>
      <c r="E65" s="1997">
        <v>0</v>
      </c>
      <c r="F65" s="1998" t="e">
        <f t="shared" si="15"/>
        <v>#DIV/0!</v>
      </c>
      <c r="G65" s="1999">
        <f>G63</f>
        <v>0.25</v>
      </c>
      <c r="H65" s="2004"/>
      <c r="I65" s="1635"/>
      <c r="J65" s="1878"/>
      <c r="K65" s="1879"/>
      <c r="L65" s="1879"/>
      <c r="M65" s="1635"/>
      <c r="N65" s="1635"/>
    </row>
    <row r="66" spans="1:17" s="2000" customFormat="1" ht="13.5" thickBot="1">
      <c r="A66" s="2005" t="s">
        <v>2414</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2022-3-1</v>
      </c>
      <c r="D68" s="2009">
        <f>EDATE(C68,-3)</f>
        <v>44531</v>
      </c>
      <c r="E68" s="2009">
        <f t="shared" ref="E68:O68" si="18">EDATE(D68,-3)</f>
        <v>44440</v>
      </c>
      <c r="F68" s="2009">
        <f t="shared" si="18"/>
        <v>44348</v>
      </c>
      <c r="G68" s="2009">
        <f t="shared" si="18"/>
        <v>44256</v>
      </c>
      <c r="H68" s="2009">
        <f t="shared" si="18"/>
        <v>44166</v>
      </c>
      <c r="I68" s="2009">
        <f t="shared" si="18"/>
        <v>44075</v>
      </c>
      <c r="J68" s="2009">
        <f t="shared" si="18"/>
        <v>43983</v>
      </c>
      <c r="K68" s="2009">
        <f t="shared" si="18"/>
        <v>43891</v>
      </c>
      <c r="L68" s="2009">
        <f t="shared" si="18"/>
        <v>43800</v>
      </c>
      <c r="M68" s="2009">
        <f t="shared" si="18"/>
        <v>43709</v>
      </c>
      <c r="N68" s="2009">
        <f t="shared" si="18"/>
        <v>43617</v>
      </c>
      <c r="O68" s="2009">
        <f t="shared" si="18"/>
        <v>43525</v>
      </c>
    </row>
    <row r="69" spans="1:17" ht="21.75" thickBot="1">
      <c r="A69" s="1785" t="s">
        <v>2316</v>
      </c>
      <c r="B69" s="1760"/>
      <c r="C69" s="1786"/>
      <c r="D69" s="1786"/>
      <c r="E69" s="1786"/>
      <c r="F69" s="1786"/>
      <c r="G69" s="1786"/>
      <c r="H69" s="1786"/>
      <c r="I69" s="2011"/>
      <c r="J69" s="2011"/>
      <c r="K69" s="2012"/>
      <c r="L69" s="2013"/>
      <c r="M69" s="2011"/>
      <c r="N69" s="2011"/>
      <c r="O69" s="2011"/>
      <c r="P69" s="2014"/>
      <c r="Q69" s="1790"/>
    </row>
    <row r="70" spans="1:17" s="2019" customFormat="1" ht="15">
      <c r="A70" s="2015" t="s">
        <v>2415</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2416</v>
      </c>
      <c r="B71" s="2021" t="str">
        <f>"北京市平均增长率"&amp;TEXT(SUMIF(基准地价修正!N21:N25,A71,基准地价修正!P21:P25),"0.00%")</f>
        <v>北京市平均增长率1.03%</v>
      </c>
      <c r="C71" s="1874">
        <v>100</v>
      </c>
      <c r="D71" s="1870"/>
      <c r="E71" s="1870"/>
      <c r="F71" s="1870"/>
      <c r="G71" s="1870"/>
      <c r="H71" s="1870"/>
      <c r="I71" s="1870"/>
      <c r="J71" s="1870"/>
      <c r="K71" s="1870"/>
      <c r="L71" s="1870"/>
      <c r="M71" s="2022"/>
      <c r="N71" s="1870"/>
      <c r="O71" s="2023"/>
      <c r="P71" s="1790"/>
    </row>
    <row r="72" spans="1:17" s="1653" customFormat="1" ht="15.75" thickBot="1">
      <c r="A72" s="1803" t="s">
        <v>2236</v>
      </c>
      <c r="B72" s="1804"/>
      <c r="C72" s="1805"/>
      <c r="D72" s="1806"/>
      <c r="E72" s="1806"/>
      <c r="F72" s="1806"/>
      <c r="G72" s="1806"/>
      <c r="H72" s="1806"/>
      <c r="I72" s="1806"/>
      <c r="J72" s="1806"/>
      <c r="K72" s="1806"/>
      <c r="L72" s="1806"/>
      <c r="M72" s="1807"/>
      <c r="N72" s="1806"/>
      <c r="O72" s="2024"/>
      <c r="P72" s="1790"/>
      <c r="Q72" s="1790"/>
    </row>
    <row r="73" spans="1:17" s="1653" customFormat="1" ht="15">
      <c r="A73" s="1808" t="s">
        <v>2200</v>
      </c>
      <c r="B73" s="1798"/>
      <c r="C73" s="1809" t="s">
        <v>2201</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2239</v>
      </c>
      <c r="B75" s="1816" t="s">
        <v>2204</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2207</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2208</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2209</v>
      </c>
      <c r="B88" s="1816" t="s">
        <v>2247</v>
      </c>
      <c r="C88" s="1854" t="s">
        <v>2248</v>
      </c>
      <c r="D88" s="1854" t="s">
        <v>2249</v>
      </c>
      <c r="E88" s="1854" t="s">
        <v>2250</v>
      </c>
      <c r="F88" s="1854" t="s">
        <v>2251</v>
      </c>
      <c r="G88" s="1854" t="s">
        <v>2252</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2417</v>
      </c>
      <c r="C90" s="579" t="s">
        <v>2248</v>
      </c>
      <c r="D90" s="579" t="s">
        <v>2249</v>
      </c>
      <c r="E90" s="579" t="s">
        <v>2250</v>
      </c>
      <c r="F90" s="579" t="s">
        <v>2251</v>
      </c>
      <c r="G90" s="579" t="s">
        <v>2252</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2335</v>
      </c>
      <c r="C92" s="579" t="s">
        <v>2248</v>
      </c>
      <c r="D92" s="579" t="s">
        <v>2249</v>
      </c>
      <c r="E92" s="579" t="s">
        <v>2250</v>
      </c>
      <c r="F92" s="579" t="s">
        <v>2251</v>
      </c>
      <c r="G92" s="579" t="s">
        <v>2252</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2253</v>
      </c>
      <c r="C94" s="579" t="s">
        <v>2248</v>
      </c>
      <c r="D94" s="579" t="s">
        <v>2249</v>
      </c>
      <c r="E94" s="579" t="s">
        <v>2250</v>
      </c>
      <c r="F94" s="579" t="s">
        <v>2251</v>
      </c>
      <c r="G94" s="579" t="s">
        <v>2252</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2418</v>
      </c>
      <c r="C96" s="579" t="s">
        <v>2248</v>
      </c>
      <c r="D96" s="579" t="s">
        <v>2249</v>
      </c>
      <c r="E96" s="579" t="s">
        <v>2250</v>
      </c>
      <c r="F96" s="579" t="s">
        <v>2251</v>
      </c>
      <c r="G96" s="579" t="s">
        <v>2252</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2419</v>
      </c>
      <c r="C98" s="1854" t="s">
        <v>2248</v>
      </c>
      <c r="D98" s="1854" t="s">
        <v>2249</v>
      </c>
      <c r="E98" s="1854" t="s">
        <v>2250</v>
      </c>
      <c r="F98" s="1854" t="s">
        <v>2251</v>
      </c>
      <c r="G98" s="1854" t="s">
        <v>2252</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2296</v>
      </c>
      <c r="C100" s="1854" t="s">
        <v>2248</v>
      </c>
      <c r="D100" s="1854" t="s">
        <v>2249</v>
      </c>
      <c r="E100" s="1854" t="s">
        <v>2250</v>
      </c>
      <c r="F100" s="1854" t="s">
        <v>2251</v>
      </c>
      <c r="G100" s="1854" t="s">
        <v>2252</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2297</v>
      </c>
      <c r="C102" s="1828" t="s">
        <v>2255</v>
      </c>
      <c r="D102" s="1828" t="s">
        <v>2256</v>
      </c>
      <c r="E102" s="1828" t="s">
        <v>2257</v>
      </c>
      <c r="F102" s="1828" t="s">
        <v>2258</v>
      </c>
      <c r="G102" s="1828" t="s">
        <v>2259</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2420</v>
      </c>
      <c r="D104" s="1828" t="s">
        <v>2421</v>
      </c>
      <c r="E104" s="1828" t="s">
        <v>2422</v>
      </c>
      <c r="F104" s="1828" t="s">
        <v>2423</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2328</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2389</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2214</v>
      </c>
      <c r="B116" s="1816" t="s">
        <v>2424</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2425</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2426</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2427</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2428</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1197</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1198</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估价对象为北京市房地产，为XX所有。根据《房屋所有权证》[]，估价对象建筑面积为259.41平方米。根据《》[]，估价对象（分摊）出让国有建设用地使用权面积为平方米。估价对象用途为。</v>
      </c>
      <c r="B6" s="1317"/>
      <c r="C6" s="1317"/>
      <c r="D6" s="1317"/>
      <c r="E6" s="1317"/>
      <c r="F6" s="1317"/>
      <c r="G6" s="1317"/>
    </row>
    <row r="7" spans="1:7" ht="18.75">
      <c r="A7" s="1318" t="s">
        <v>1199</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1200</v>
      </c>
      <c r="B9" s="1322"/>
    </row>
    <row r="10" spans="1:7" ht="18">
      <c r="A10" s="1323" t="str">
        <f>TEXT(项目基本情况!D2,"yyyy年m月d日;;")&amp;IF(项目基本情况!B2=项目基本情况!D2,"（评估专业人员实地查勘之日）","")</f>
        <v>2022年3月16日</v>
      </c>
      <c r="B10" s="1324"/>
      <c r="C10" s="1324"/>
      <c r="D10" s="1324"/>
      <c r="E10" s="1324"/>
      <c r="F10" s="1324"/>
      <c r="G10" s="1324"/>
    </row>
    <row r="11" spans="1:7" ht="18.75">
      <c r="A11" s="1315" t="s">
        <v>1201</v>
      </c>
    </row>
    <row r="12" spans="1:7" ht="75">
      <c r="A12" s="1317" t="s">
        <v>1202</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本次估价的“房地产价值”是指在正常市场情况下，在价值时点2022年3月16日，估价对象规划用途为，假定未设立法定优先受偿款下的房地产市场价值。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1196</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1195</v>
      </c>
    </row>
    <row r="18" spans="1:1" ht="18">
      <c r="A18" s="132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4"/>
      <c r="E1" s="614"/>
      <c r="F1" s="613" t="s">
        <v>2183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2383</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2384</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2185</v>
      </c>
      <c r="B4" s="295"/>
      <c r="C4" s="3677" t="s">
        <v>2186</v>
      </c>
      <c r="D4" s="3678"/>
      <c r="E4" s="3679" t="s">
        <v>2187</v>
      </c>
      <c r="F4" s="3680"/>
      <c r="G4" s="3677" t="s">
        <v>2188</v>
      </c>
      <c r="H4" s="3678"/>
      <c r="I4" s="3677" t="s">
        <v>2189</v>
      </c>
      <c r="J4" s="3678"/>
      <c r="K4" s="496" t="s">
        <v>2190</v>
      </c>
      <c r="L4" s="2992"/>
      <c r="M4" s="2993"/>
      <c r="N4" s="2993"/>
      <c r="O4" s="2993"/>
      <c r="P4" s="3681" t="s">
        <v>2191</v>
      </c>
      <c r="Q4" s="3682"/>
      <c r="R4" s="3664" t="s">
        <v>2187</v>
      </c>
      <c r="S4" s="3665"/>
      <c r="T4" s="3664" t="s">
        <v>2188</v>
      </c>
      <c r="U4" s="3665"/>
      <c r="V4" s="3687" t="s">
        <v>2189</v>
      </c>
      <c r="W4" s="3687"/>
      <c r="X4" s="1303"/>
      <c r="Y4" s="3664" t="s">
        <v>2191</v>
      </c>
      <c r="Z4" s="3665"/>
      <c r="AA4" s="3674" t="s">
        <v>2187</v>
      </c>
      <c r="AB4" s="3675" t="s">
        <v>2188</v>
      </c>
      <c r="AC4" s="3674" t="s">
        <v>2189</v>
      </c>
    </row>
    <row r="5" spans="1:29" ht="15">
      <c r="A5" s="297"/>
      <c r="B5" s="298"/>
      <c r="C5" s="3690" t="s">
        <v>2192</v>
      </c>
      <c r="D5" s="3691"/>
      <c r="E5" s="3688" t="s">
        <v>2193</v>
      </c>
      <c r="F5" s="3689"/>
      <c r="G5" s="3690" t="s">
        <v>2194</v>
      </c>
      <c r="H5" s="3691"/>
      <c r="I5" s="3690" t="s">
        <v>2195</v>
      </c>
      <c r="J5" s="3691"/>
      <c r="K5" s="496"/>
      <c r="L5" s="2992"/>
      <c r="M5" s="2993"/>
      <c r="N5" s="2993"/>
      <c r="O5" s="2993"/>
      <c r="P5" s="3683"/>
      <c r="Q5" s="3684"/>
      <c r="R5" s="3666"/>
      <c r="S5" s="3667"/>
      <c r="T5" s="3666"/>
      <c r="U5" s="3667"/>
      <c r="V5" s="3687"/>
      <c r="W5" s="3687"/>
      <c r="X5" s="1303"/>
      <c r="Y5" s="3666"/>
      <c r="Z5" s="3667"/>
      <c r="AA5" s="3675"/>
      <c r="AB5" s="3675"/>
      <c r="AC5" s="3675"/>
    </row>
    <row r="6" spans="1:29" ht="15.75" thickBot="1">
      <c r="A6" s="299"/>
      <c r="B6" s="300"/>
      <c r="C6" s="3692" t="s">
        <v>2196</v>
      </c>
      <c r="D6" s="3693"/>
      <c r="E6" s="3694" t="s">
        <v>2196</v>
      </c>
      <c r="F6" s="3695"/>
      <c r="G6" s="3692" t="s">
        <v>2196</v>
      </c>
      <c r="H6" s="3693"/>
      <c r="I6" s="3692" t="s">
        <v>2196</v>
      </c>
      <c r="J6" s="3693"/>
      <c r="K6" s="496" t="s">
        <v>2197</v>
      </c>
      <c r="L6" s="2992"/>
      <c r="M6" s="2993"/>
      <c r="N6" s="2993"/>
      <c r="O6" s="2993"/>
      <c r="P6" s="3685"/>
      <c r="Q6" s="3686"/>
      <c r="R6" s="3666"/>
      <c r="S6" s="3667"/>
      <c r="T6" s="3668"/>
      <c r="U6" s="3669"/>
      <c r="V6" s="3687"/>
      <c r="W6" s="3687"/>
      <c r="X6" s="1303"/>
      <c r="Y6" s="3668"/>
      <c r="Z6" s="3669"/>
      <c r="AA6" s="3676"/>
      <c r="AB6" s="3676"/>
      <c r="AC6" s="3676"/>
    </row>
    <row r="7" spans="1:29" s="25" customFormat="1" ht="15.75" thickBot="1">
      <c r="A7" s="301" t="s">
        <v>2198</v>
      </c>
      <c r="B7" s="302"/>
      <c r="C7" s="303">
        <f>'数据-取费表'!B2</f>
        <v>44636</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62" t="s">
        <v>2199</v>
      </c>
      <c r="Q7" s="3670"/>
      <c r="R7" s="627" t="s">
        <v>25</v>
      </c>
      <c r="S7" s="628">
        <f t="shared" ref="S7:S15" si="0">F7</f>
        <v>0</v>
      </c>
      <c r="T7" s="627" t="s">
        <v>25</v>
      </c>
      <c r="U7" s="628">
        <f t="shared" ref="U7:U15" si="1">H7</f>
        <v>0</v>
      </c>
      <c r="V7" s="627" t="s">
        <v>25</v>
      </c>
      <c r="W7" s="628">
        <f t="shared" ref="W7:W15" si="2">J7</f>
        <v>0</v>
      </c>
      <c r="X7" s="629"/>
      <c r="Y7" s="3662" t="s">
        <v>2199</v>
      </c>
      <c r="Z7" s="3663"/>
      <c r="AA7" s="630" t="e">
        <f>D7/F7</f>
        <v>#DIV/0!</v>
      </c>
      <c r="AB7" s="630" t="e">
        <f>D7/H7</f>
        <v>#DIV/0!</v>
      </c>
      <c r="AC7" s="630"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62" t="s">
        <v>2202</v>
      </c>
      <c r="Q8" s="3663"/>
      <c r="R8" s="627" t="s">
        <v>25</v>
      </c>
      <c r="S8" s="628">
        <f t="shared" si="0"/>
        <v>0</v>
      </c>
      <c r="T8" s="627" t="s">
        <v>25</v>
      </c>
      <c r="U8" s="628">
        <f t="shared" si="1"/>
        <v>0</v>
      </c>
      <c r="V8" s="627" t="s">
        <v>25</v>
      </c>
      <c r="W8" s="628">
        <f t="shared" si="2"/>
        <v>0</v>
      </c>
      <c r="X8" s="629"/>
      <c r="Y8" s="3662" t="s">
        <v>2202</v>
      </c>
      <c r="Z8" s="3663"/>
      <c r="AA8" s="630" t="e">
        <f t="shared" ref="AA8:AA40" si="3">D8/F8</f>
        <v>#DIV/0!</v>
      </c>
      <c r="AB8" s="630" t="e">
        <f t="shared" ref="AB8:AB40" si="4">D8/H8</f>
        <v>#DIV/0!</v>
      </c>
      <c r="AC8" s="630" t="e">
        <f t="shared" ref="AC8:AC40" si="5">D8/J8</f>
        <v>#DIV/0!</v>
      </c>
    </row>
    <row r="9" spans="1:29" s="25" customFormat="1">
      <c r="A9" s="308" t="s">
        <v>2203</v>
      </c>
      <c r="B9" s="24" t="s">
        <v>2204</v>
      </c>
      <c r="C9" s="1554" t="s">
        <v>2430</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54" t="s">
        <v>2205</v>
      </c>
      <c r="Q9" s="1295" t="str">
        <f t="shared" ref="Q9:Q15" si="6">B9</f>
        <v>用途</v>
      </c>
      <c r="R9" s="627" t="s">
        <v>25</v>
      </c>
      <c r="S9" s="628">
        <f t="shared" si="0"/>
        <v>100</v>
      </c>
      <c r="T9" s="627" t="s">
        <v>25</v>
      </c>
      <c r="U9" s="628">
        <f t="shared" si="1"/>
        <v>100</v>
      </c>
      <c r="V9" s="627" t="s">
        <v>25</v>
      </c>
      <c r="W9" s="628">
        <f t="shared" si="2"/>
        <v>100</v>
      </c>
      <c r="X9" s="629"/>
      <c r="Y9" s="3673" t="s">
        <v>2206</v>
      </c>
      <c r="Z9" s="19" t="str">
        <f t="shared" ref="Z9:Z15" si="7">Q9</f>
        <v>用途</v>
      </c>
      <c r="AA9" s="630">
        <f t="shared" si="3"/>
        <v>1</v>
      </c>
      <c r="AB9" s="630">
        <f t="shared" si="4"/>
        <v>1</v>
      </c>
      <c r="AC9" s="630">
        <f t="shared" si="5"/>
        <v>1</v>
      </c>
    </row>
    <row r="10" spans="1:29" s="317" customFormat="1" ht="27">
      <c r="A10" s="312"/>
      <c r="B10" s="313" t="s">
        <v>2207</v>
      </c>
      <c r="C10" s="322"/>
      <c r="D10" s="29">
        <v>100</v>
      </c>
      <c r="E10" s="322"/>
      <c r="F10" s="29">
        <f>ROUND(100/'数据-取费表'!B14,0)</f>
        <v>114</v>
      </c>
      <c r="G10" s="322"/>
      <c r="H10" s="29">
        <f>ROUND(100/'数据-取费表'!B14,0)</f>
        <v>114</v>
      </c>
      <c r="I10" s="322"/>
      <c r="J10" s="29">
        <f>ROUND(100/'数据-取费表'!B14,0)</f>
        <v>114</v>
      </c>
      <c r="K10" s="553"/>
      <c r="L10" s="2997"/>
      <c r="M10" s="2998"/>
      <c r="N10" s="2998"/>
      <c r="O10" s="2999"/>
      <c r="P10" s="3654"/>
      <c r="Q10" s="1295" t="str">
        <f t="shared" si="6"/>
        <v>土地使用年限（年）</v>
      </c>
      <c r="R10" s="627" t="s">
        <v>25</v>
      </c>
      <c r="S10" s="628">
        <f t="shared" si="0"/>
        <v>114</v>
      </c>
      <c r="T10" s="627" t="s">
        <v>25</v>
      </c>
      <c r="U10" s="628">
        <f t="shared" si="1"/>
        <v>114</v>
      </c>
      <c r="V10" s="627" t="s">
        <v>25</v>
      </c>
      <c r="W10" s="628">
        <f t="shared" si="2"/>
        <v>114</v>
      </c>
      <c r="X10" s="629"/>
      <c r="Y10" s="3673"/>
      <c r="Z10" s="19" t="str">
        <f t="shared" si="7"/>
        <v>土地使用年限（年）</v>
      </c>
      <c r="AA10" s="630">
        <f t="shared" si="3"/>
        <v>0.8771929824561403</v>
      </c>
      <c r="AB10" s="630">
        <f t="shared" si="4"/>
        <v>0.8771929824561403</v>
      </c>
      <c r="AC10" s="630">
        <f t="shared" si="5"/>
        <v>0.8771929824561403</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4"/>
      <c r="Q11" s="129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4"/>
      <c r="Q12" s="129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4"/>
      <c r="Q13" s="129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4"/>
      <c r="Q14" s="129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2209</v>
      </c>
      <c r="B15" s="511" t="s">
        <v>2431</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71" t="s">
        <v>2210</v>
      </c>
      <c r="Q15" s="1302" t="str">
        <f t="shared" si="6"/>
        <v>产业集聚程度</v>
      </c>
      <c r="R15" s="631" t="s">
        <v>25</v>
      </c>
      <c r="S15" s="632">
        <f t="shared" si="0"/>
        <v>100</v>
      </c>
      <c r="T15" s="631" t="s">
        <v>25</v>
      </c>
      <c r="U15" s="632">
        <f t="shared" si="1"/>
        <v>100</v>
      </c>
      <c r="V15" s="631" t="s">
        <v>25</v>
      </c>
      <c r="W15" s="632">
        <f t="shared" si="2"/>
        <v>100</v>
      </c>
      <c r="X15" s="1303"/>
      <c r="Y15" s="3671" t="s">
        <v>2210</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672"/>
      <c r="Q16" s="1302"/>
      <c r="R16" s="631"/>
      <c r="S16" s="632"/>
      <c r="T16" s="631"/>
      <c r="U16" s="632"/>
      <c r="V16" s="631"/>
      <c r="W16" s="632"/>
      <c r="X16" s="1303"/>
      <c r="Y16" s="3672"/>
      <c r="Z16" s="1304"/>
      <c r="AA16" s="1305">
        <v>1</v>
      </c>
      <c r="AB16" s="1305">
        <v>1</v>
      </c>
      <c r="AC16" s="1305">
        <v>1</v>
      </c>
    </row>
    <row r="17" spans="1:29" ht="85.5">
      <c r="A17" s="318"/>
      <c r="B17" s="513" t="s">
        <v>2347</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72"/>
      <c r="Q17" s="1302" t="str">
        <f>B17</f>
        <v>交通便捷度</v>
      </c>
      <c r="R17" s="631" t="s">
        <v>25</v>
      </c>
      <c r="S17" s="632">
        <f>F17</f>
        <v>100</v>
      </c>
      <c r="T17" s="631" t="s">
        <v>25</v>
      </c>
      <c r="U17" s="632">
        <f>H17</f>
        <v>100</v>
      </c>
      <c r="V17" s="631" t="s">
        <v>25</v>
      </c>
      <c r="W17" s="632">
        <f>J17</f>
        <v>100</v>
      </c>
      <c r="X17" s="1303"/>
      <c r="Y17" s="3672"/>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672"/>
      <c r="Q18" s="1302"/>
      <c r="R18" s="631"/>
      <c r="S18" s="632"/>
      <c r="T18" s="631"/>
      <c r="U18" s="632"/>
      <c r="V18" s="631"/>
      <c r="W18" s="632"/>
      <c r="X18" s="1303"/>
      <c r="Y18" s="3672"/>
      <c r="Z18" s="1304"/>
      <c r="AA18" s="1305">
        <v>1</v>
      </c>
      <c r="AB18" s="1305">
        <v>1</v>
      </c>
      <c r="AC18" s="1305">
        <v>1</v>
      </c>
    </row>
    <row r="19" spans="1:29" ht="15">
      <c r="A19" s="318"/>
      <c r="B19" s="513" t="s">
        <v>2387</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72"/>
      <c r="Q19" s="1302" t="str">
        <f t="shared" ref="Q19:Q33" si="8">B19</f>
        <v>区域土地利用方向</v>
      </c>
      <c r="R19" s="631" t="s">
        <v>25</v>
      </c>
      <c r="S19" s="632">
        <f>F19</f>
        <v>100</v>
      </c>
      <c r="T19" s="631" t="s">
        <v>25</v>
      </c>
      <c r="U19" s="632">
        <f>H19</f>
        <v>100</v>
      </c>
      <c r="V19" s="631" t="s">
        <v>25</v>
      </c>
      <c r="W19" s="632">
        <f>J19</f>
        <v>100</v>
      </c>
      <c r="X19" s="1303"/>
      <c r="Y19" s="3672"/>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5"/>
      <c r="L20" s="3002"/>
      <c r="M20" s="2993"/>
      <c r="N20" s="2993"/>
      <c r="O20" s="3001"/>
      <c r="P20" s="3672"/>
      <c r="Q20" s="1302"/>
      <c r="R20" s="631"/>
      <c r="S20" s="632"/>
      <c r="T20" s="631"/>
      <c r="U20" s="632"/>
      <c r="V20" s="631"/>
      <c r="W20" s="632"/>
      <c r="X20" s="1303"/>
      <c r="Y20" s="3672"/>
      <c r="Z20" s="1304"/>
      <c r="AA20" s="1305"/>
      <c r="AB20" s="1305"/>
      <c r="AC20" s="1305"/>
    </row>
    <row r="21" spans="1:29" ht="71.25">
      <c r="A21" s="297"/>
      <c r="B21" s="513" t="s">
        <v>2432</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72"/>
      <c r="Q21" s="1302" t="str">
        <f t="shared" si="8"/>
        <v>环境状况</v>
      </c>
      <c r="R21" s="631" t="s">
        <v>25</v>
      </c>
      <c r="S21" s="632">
        <f>F21</f>
        <v>100</v>
      </c>
      <c r="T21" s="631" t="s">
        <v>25</v>
      </c>
      <c r="U21" s="632">
        <f>H21</f>
        <v>100</v>
      </c>
      <c r="V21" s="631" t="s">
        <v>25</v>
      </c>
      <c r="W21" s="632">
        <f>J21</f>
        <v>100</v>
      </c>
      <c r="X21" s="1303"/>
      <c r="Y21" s="3672"/>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672"/>
      <c r="Q22" s="1302"/>
      <c r="R22" s="631"/>
      <c r="S22" s="632"/>
      <c r="T22" s="631"/>
      <c r="U22" s="632"/>
      <c r="V22" s="631"/>
      <c r="W22" s="632"/>
      <c r="X22" s="1303"/>
      <c r="Y22" s="3672"/>
      <c r="Z22" s="1304"/>
      <c r="AA22" s="1305">
        <v>1</v>
      </c>
      <c r="AB22" s="1305">
        <v>1</v>
      </c>
      <c r="AC22" s="1305">
        <v>1</v>
      </c>
    </row>
    <row r="23" spans="1:29" s="25" customFormat="1" ht="42.75">
      <c r="A23" s="531"/>
      <c r="B23" s="513" t="s">
        <v>2296</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72"/>
      <c r="Q23" s="1295" t="str">
        <f t="shared" si="8"/>
        <v>公共配套设施</v>
      </c>
      <c r="R23" s="627" t="s">
        <v>25</v>
      </c>
      <c r="S23" s="628">
        <f>F23</f>
        <v>100</v>
      </c>
      <c r="T23" s="627" t="s">
        <v>25</v>
      </c>
      <c r="U23" s="628">
        <f>H23</f>
        <v>100</v>
      </c>
      <c r="V23" s="627" t="s">
        <v>25</v>
      </c>
      <c r="W23" s="628">
        <f>J23</f>
        <v>100</v>
      </c>
      <c r="X23" s="629"/>
      <c r="Y23" s="3672"/>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672"/>
      <c r="Q24" s="1295"/>
      <c r="R24" s="627"/>
      <c r="S24" s="628"/>
      <c r="T24" s="627"/>
      <c r="U24" s="628"/>
      <c r="V24" s="627"/>
      <c r="W24" s="628"/>
      <c r="X24" s="629"/>
      <c r="Y24" s="3672"/>
      <c r="Z24" s="19"/>
      <c r="AA24" s="630">
        <v>1</v>
      </c>
      <c r="AB24" s="630">
        <v>1</v>
      </c>
      <c r="AC24" s="630">
        <v>1</v>
      </c>
    </row>
    <row r="25" spans="1:29" s="25" customFormat="1" ht="28.5">
      <c r="A25" s="531"/>
      <c r="B25" s="515" t="s">
        <v>2297</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72"/>
      <c r="Q25" s="1295" t="str">
        <f t="shared" ref="Q25" si="9">B25</f>
        <v>基础设施水平</v>
      </c>
      <c r="R25" s="627" t="s">
        <v>25</v>
      </c>
      <c r="S25" s="628">
        <f>F25</f>
        <v>100</v>
      </c>
      <c r="T25" s="627" t="s">
        <v>25</v>
      </c>
      <c r="U25" s="628">
        <f>H25</f>
        <v>100</v>
      </c>
      <c r="V25" s="627" t="s">
        <v>25</v>
      </c>
      <c r="W25" s="628">
        <f>J25</f>
        <v>100</v>
      </c>
      <c r="X25" s="629"/>
      <c r="Y25" s="3672"/>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672"/>
      <c r="Q26" s="1295"/>
      <c r="R26" s="627"/>
      <c r="S26" s="628"/>
      <c r="T26" s="627"/>
      <c r="U26" s="628"/>
      <c r="V26" s="627"/>
      <c r="W26" s="628"/>
      <c r="X26" s="629"/>
      <c r="Y26" s="3672"/>
      <c r="Z26" s="19"/>
      <c r="AA26" s="630">
        <v>1</v>
      </c>
      <c r="AB26" s="630">
        <v>1</v>
      </c>
      <c r="AC26" s="630">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72"/>
      <c r="Q27" s="1302" t="str">
        <f t="shared" si="8"/>
        <v>临街状况</v>
      </c>
      <c r="R27" s="631" t="s">
        <v>25</v>
      </c>
      <c r="S27" s="632">
        <f t="shared" ref="S27:S40" si="10">F27</f>
        <v>100</v>
      </c>
      <c r="T27" s="631" t="s">
        <v>25</v>
      </c>
      <c r="U27" s="632">
        <f t="shared" ref="U27:U40" si="11">H27</f>
        <v>100</v>
      </c>
      <c r="V27" s="631" t="s">
        <v>25</v>
      </c>
      <c r="W27" s="632">
        <f t="shared" ref="W27:W40" si="12">J27</f>
        <v>100</v>
      </c>
      <c r="X27" s="1303"/>
      <c r="Y27" s="3672"/>
      <c r="Z27" s="1304" t="str">
        <f t="shared" ref="Z27:Z40" si="13">Q27</f>
        <v>临街状况</v>
      </c>
      <c r="AA27" s="1305">
        <f t="shared" si="3"/>
        <v>1</v>
      </c>
      <c r="AB27" s="1305">
        <f t="shared" si="4"/>
        <v>1</v>
      </c>
      <c r="AC27" s="1305">
        <f t="shared" si="5"/>
        <v>1</v>
      </c>
    </row>
    <row r="28" spans="1:29" ht="27">
      <c r="A28" s="318"/>
      <c r="B28" s="515" t="s">
        <v>2328</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72"/>
      <c r="Q28" s="1302" t="str">
        <f t="shared" si="8"/>
        <v>毗邻道路的类型与等级</v>
      </c>
      <c r="R28" s="631" t="s">
        <v>25</v>
      </c>
      <c r="S28" s="632">
        <f t="shared" si="10"/>
        <v>100</v>
      </c>
      <c r="T28" s="631" t="s">
        <v>25</v>
      </c>
      <c r="U28" s="632">
        <f t="shared" si="11"/>
        <v>100</v>
      </c>
      <c r="V28" s="631" t="s">
        <v>25</v>
      </c>
      <c r="W28" s="632">
        <f t="shared" si="12"/>
        <v>100</v>
      </c>
      <c r="X28" s="1303"/>
      <c r="Y28" s="3672"/>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672"/>
      <c r="Q29" s="1302"/>
      <c r="R29" s="631"/>
      <c r="S29" s="632"/>
      <c r="T29" s="631"/>
      <c r="U29" s="632"/>
      <c r="V29" s="631"/>
      <c r="W29" s="632"/>
      <c r="X29" s="1303"/>
      <c r="Y29" s="3672"/>
      <c r="Z29" s="1304"/>
      <c r="AA29" s="1305">
        <v>1</v>
      </c>
      <c r="AB29" s="1305">
        <v>1</v>
      </c>
      <c r="AC29" s="1305">
        <v>1</v>
      </c>
    </row>
    <row r="30" spans="1:29" ht="15">
      <c r="A30" s="318"/>
      <c r="B30" s="535" t="s">
        <v>2389</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72"/>
      <c r="Q30" s="1302" t="str">
        <f t="shared" si="8"/>
        <v>土地级别</v>
      </c>
      <c r="R30" s="631" t="s">
        <v>25</v>
      </c>
      <c r="S30" s="632">
        <f t="shared" si="10"/>
        <v>100</v>
      </c>
      <c r="T30" s="631" t="s">
        <v>25</v>
      </c>
      <c r="U30" s="632">
        <f t="shared" si="11"/>
        <v>100</v>
      </c>
      <c r="V30" s="631" t="s">
        <v>25</v>
      </c>
      <c r="W30" s="632">
        <f t="shared" si="12"/>
        <v>100</v>
      </c>
      <c r="X30" s="1303"/>
      <c r="Y30" s="3672"/>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72"/>
      <c r="Q31" s="1302">
        <f t="shared" si="8"/>
        <v>111</v>
      </c>
      <c r="R31" s="631" t="s">
        <v>25</v>
      </c>
      <c r="S31" s="632">
        <f t="shared" si="10"/>
        <v>100</v>
      </c>
      <c r="T31" s="631" t="s">
        <v>25</v>
      </c>
      <c r="U31" s="632">
        <f t="shared" si="11"/>
        <v>100</v>
      </c>
      <c r="V31" s="631" t="s">
        <v>25</v>
      </c>
      <c r="W31" s="632">
        <f t="shared" si="12"/>
        <v>100</v>
      </c>
      <c r="X31" s="1303"/>
      <c r="Y31" s="3672"/>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59" t="s">
        <v>2216</v>
      </c>
      <c r="Q32" s="1302">
        <f t="shared" si="8"/>
        <v>111</v>
      </c>
      <c r="R32" s="631" t="s">
        <v>25</v>
      </c>
      <c r="S32" s="632">
        <f t="shared" si="10"/>
        <v>100</v>
      </c>
      <c r="T32" s="631" t="s">
        <v>25</v>
      </c>
      <c r="U32" s="632">
        <f t="shared" si="11"/>
        <v>100</v>
      </c>
      <c r="V32" s="631" t="s">
        <v>25</v>
      </c>
      <c r="W32" s="632">
        <f t="shared" si="12"/>
        <v>100</v>
      </c>
      <c r="X32" s="1303"/>
      <c r="Y32" s="3660" t="s">
        <v>2216</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60"/>
      <c r="Q33" s="1302">
        <f t="shared" si="8"/>
        <v>111</v>
      </c>
      <c r="R33" s="634" t="s">
        <v>25</v>
      </c>
      <c r="S33" s="635">
        <f t="shared" si="10"/>
        <v>100</v>
      </c>
      <c r="T33" s="634" t="s">
        <v>25</v>
      </c>
      <c r="U33" s="635">
        <f t="shared" si="11"/>
        <v>100</v>
      </c>
      <c r="V33" s="634" t="s">
        <v>25</v>
      </c>
      <c r="W33" s="635">
        <f t="shared" si="12"/>
        <v>100</v>
      </c>
      <c r="X33" s="636"/>
      <c r="Y33" s="3660"/>
      <c r="Z33" s="637">
        <f t="shared" si="13"/>
        <v>111</v>
      </c>
      <c r="AA33" s="1305">
        <f t="shared" si="3"/>
        <v>1</v>
      </c>
      <c r="AB33" s="1305">
        <f t="shared" si="4"/>
        <v>1</v>
      </c>
      <c r="AC33" s="1305">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60"/>
      <c r="Q34" s="1302" t="str">
        <f>B34</f>
        <v>宗地面积</v>
      </c>
      <c r="R34" s="631" t="s">
        <v>25</v>
      </c>
      <c r="S34" s="632" t="e">
        <f t="shared" si="10"/>
        <v>#N/A</v>
      </c>
      <c r="T34" s="631" t="s">
        <v>25</v>
      </c>
      <c r="U34" s="632" t="e">
        <f t="shared" si="11"/>
        <v>#N/A</v>
      </c>
      <c r="V34" s="631" t="s">
        <v>25</v>
      </c>
      <c r="W34" s="632" t="e">
        <f t="shared" si="12"/>
        <v>#N/A</v>
      </c>
      <c r="X34" s="1303"/>
      <c r="Y34" s="3660"/>
      <c r="Z34" s="1304" t="str">
        <f t="shared" si="13"/>
        <v>宗地面积</v>
      </c>
      <c r="AA34" s="1305" t="e">
        <f t="shared" si="3"/>
        <v>#N/A</v>
      </c>
      <c r="AB34" s="1305" t="e">
        <f t="shared" si="4"/>
        <v>#N/A</v>
      </c>
      <c r="AC34" s="1305" t="e">
        <f t="shared" si="5"/>
        <v>#N/A</v>
      </c>
    </row>
    <row r="35" spans="1:29" ht="15">
      <c r="A35" s="360"/>
      <c r="B35" s="313" t="s">
        <v>2391</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60"/>
      <c r="Q35" s="1302" t="str">
        <f t="shared" ref="Q35:Q40" si="14">B35</f>
        <v>宗地形状</v>
      </c>
      <c r="R35" s="631" t="s">
        <v>25</v>
      </c>
      <c r="S35" s="632">
        <f t="shared" si="10"/>
        <v>100</v>
      </c>
      <c r="T35" s="631" t="s">
        <v>25</v>
      </c>
      <c r="U35" s="632">
        <f t="shared" si="11"/>
        <v>100</v>
      </c>
      <c r="V35" s="631" t="s">
        <v>25</v>
      </c>
      <c r="W35" s="632">
        <f t="shared" si="12"/>
        <v>100</v>
      </c>
      <c r="X35" s="1303"/>
      <c r="Y35" s="3660"/>
      <c r="Z35" s="1304" t="str">
        <f t="shared" si="13"/>
        <v>宗地形状</v>
      </c>
      <c r="AA35" s="1305">
        <f t="shared" si="3"/>
        <v>1</v>
      </c>
      <c r="AB35" s="1305">
        <f t="shared" si="4"/>
        <v>1</v>
      </c>
      <c r="AC35" s="1305">
        <f t="shared" si="5"/>
        <v>1</v>
      </c>
    </row>
    <row r="36" spans="1:29" s="25" customFormat="1" ht="15">
      <c r="A36" s="361"/>
      <c r="B36" s="313" t="s">
        <v>2393</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60"/>
      <c r="Q36" s="1302" t="str">
        <f t="shared" si="14"/>
        <v>宗地开发程度</v>
      </c>
      <c r="R36" s="627" t="s">
        <v>25</v>
      </c>
      <c r="S36" s="628">
        <f t="shared" si="10"/>
        <v>100</v>
      </c>
      <c r="T36" s="627" t="s">
        <v>25</v>
      </c>
      <c r="U36" s="628">
        <f t="shared" si="11"/>
        <v>100</v>
      </c>
      <c r="V36" s="627" t="s">
        <v>25</v>
      </c>
      <c r="W36" s="628">
        <f t="shared" si="12"/>
        <v>100</v>
      </c>
      <c r="X36" s="629"/>
      <c r="Y36" s="3660"/>
      <c r="Z36" s="19" t="str">
        <f t="shared" si="13"/>
        <v>宗地开发程度</v>
      </c>
      <c r="AA36" s="630">
        <f t="shared" si="3"/>
        <v>1</v>
      </c>
      <c r="AB36" s="630">
        <f t="shared" si="4"/>
        <v>1</v>
      </c>
      <c r="AC36" s="630">
        <f t="shared" si="5"/>
        <v>1</v>
      </c>
    </row>
    <row r="37" spans="1:29" ht="15">
      <c r="A37" s="360"/>
      <c r="B37" s="313" t="s">
        <v>2394</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60" t="s">
        <v>2216</v>
      </c>
      <c r="Q37" s="1302" t="str">
        <f t="shared" si="14"/>
        <v>工程地质条件</v>
      </c>
      <c r="R37" s="631" t="s">
        <v>25</v>
      </c>
      <c r="S37" s="632">
        <f t="shared" si="10"/>
        <v>100</v>
      </c>
      <c r="T37" s="631" t="s">
        <v>25</v>
      </c>
      <c r="U37" s="632">
        <f t="shared" si="11"/>
        <v>100</v>
      </c>
      <c r="V37" s="631" t="s">
        <v>25</v>
      </c>
      <c r="W37" s="632">
        <f t="shared" si="12"/>
        <v>100</v>
      </c>
      <c r="X37" s="1303"/>
      <c r="Y37" s="3660" t="s">
        <v>2216</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60"/>
      <c r="Q38" s="1302">
        <f t="shared" si="14"/>
        <v>111</v>
      </c>
      <c r="R38" s="631" t="s">
        <v>25</v>
      </c>
      <c r="S38" s="632">
        <f t="shared" si="10"/>
        <v>100</v>
      </c>
      <c r="T38" s="631" t="s">
        <v>25</v>
      </c>
      <c r="U38" s="632">
        <f t="shared" si="11"/>
        <v>100</v>
      </c>
      <c r="V38" s="631" t="s">
        <v>25</v>
      </c>
      <c r="W38" s="632">
        <f t="shared" si="12"/>
        <v>100</v>
      </c>
      <c r="X38" s="1303"/>
      <c r="Y38" s="3660"/>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60"/>
      <c r="Q39" s="1302">
        <f t="shared" si="14"/>
        <v>111</v>
      </c>
      <c r="R39" s="631" t="s">
        <v>25</v>
      </c>
      <c r="S39" s="632">
        <f t="shared" si="10"/>
        <v>100</v>
      </c>
      <c r="T39" s="631" t="s">
        <v>25</v>
      </c>
      <c r="U39" s="632">
        <f t="shared" si="11"/>
        <v>100</v>
      </c>
      <c r="V39" s="631" t="s">
        <v>25</v>
      </c>
      <c r="W39" s="632">
        <f t="shared" si="12"/>
        <v>100</v>
      </c>
      <c r="X39" s="1303"/>
      <c r="Y39" s="3660"/>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60"/>
      <c r="Q40" s="1302">
        <f t="shared" si="14"/>
        <v>111</v>
      </c>
      <c r="R40" s="634" t="s">
        <v>25</v>
      </c>
      <c r="S40" s="635">
        <f t="shared" si="10"/>
        <v>100</v>
      </c>
      <c r="T40" s="634" t="s">
        <v>25</v>
      </c>
      <c r="U40" s="635">
        <f t="shared" si="11"/>
        <v>100</v>
      </c>
      <c r="V40" s="634" t="s">
        <v>25</v>
      </c>
      <c r="W40" s="635">
        <f t="shared" si="12"/>
        <v>100</v>
      </c>
      <c r="X40" s="636"/>
      <c r="Y40" s="3660"/>
      <c r="Z40" s="637">
        <f t="shared" si="13"/>
        <v>111</v>
      </c>
      <c r="AA40" s="1305">
        <f t="shared" si="3"/>
        <v>1</v>
      </c>
      <c r="AB40" s="1305">
        <f t="shared" si="4"/>
        <v>1</v>
      </c>
      <c r="AC40" s="1305">
        <f t="shared" si="5"/>
        <v>1</v>
      </c>
    </row>
    <row r="41" spans="1:29" ht="15">
      <c r="A41" s="367" t="s">
        <v>2358</v>
      </c>
      <c r="B41" s="1559" t="s">
        <v>2433</v>
      </c>
      <c r="C41" s="562" t="s">
        <v>1</v>
      </c>
      <c r="D41" s="369"/>
      <c r="E41" s="370"/>
      <c r="F41" s="371"/>
      <c r="G41" s="372"/>
      <c r="H41" s="373"/>
      <c r="I41" s="370"/>
      <c r="J41" s="373"/>
      <c r="K41" s="640"/>
      <c r="L41" s="3004"/>
      <c r="M41" s="2993"/>
      <c r="N41" s="2993"/>
      <c r="P41" s="3654" t="str">
        <f>A41</f>
        <v>成交单价</v>
      </c>
      <c r="Q41" s="3654"/>
      <c r="R41" s="3687">
        <f>E41</f>
        <v>0</v>
      </c>
      <c r="S41" s="3687"/>
      <c r="T41" s="3687">
        <f>G41</f>
        <v>0</v>
      </c>
      <c r="U41" s="3687"/>
      <c r="V41" s="3687">
        <f>I41</f>
        <v>0</v>
      </c>
      <c r="W41" s="3687"/>
      <c r="X41" s="618"/>
      <c r="Y41" s="638"/>
      <c r="Z41" s="618"/>
      <c r="AA41" s="618"/>
      <c r="AB41" s="618"/>
      <c r="AC41" s="618"/>
    </row>
    <row r="42" spans="1:29" ht="15.75" thickBot="1">
      <c r="A42" s="374" t="s">
        <v>2311</v>
      </c>
      <c r="B42" s="563"/>
      <c r="C42" s="377" t="e">
        <f>R43</f>
        <v>#DIV/0!</v>
      </c>
      <c r="D42" s="1765" t="s">
        <v>2683</v>
      </c>
      <c r="E42" s="377" t="e">
        <f>R42</f>
        <v>#DIV/0!</v>
      </c>
      <c r="F42" s="1767"/>
      <c r="G42" s="376" t="e">
        <f>T42</f>
        <v>#DIV/0!</v>
      </c>
      <c r="H42" s="1767"/>
      <c r="I42" s="377" t="e">
        <f>V42</f>
        <v>#DIV/0!</v>
      </c>
      <c r="J42" s="1767"/>
      <c r="K42" s="2479">
        <f>F42+H42+J42</f>
        <v>0</v>
      </c>
      <c r="L42" s="3004"/>
      <c r="M42" s="2993"/>
      <c r="N42" s="2993"/>
      <c r="P42" s="3654" t="str">
        <f>A42</f>
        <v>比较价值（元/平方米）</v>
      </c>
      <c r="Q42" s="3654"/>
      <c r="R42" s="3699" t="e">
        <f>ROUND(PRODUCT(R41,AA7:AA40),0)</f>
        <v>#DIV/0!</v>
      </c>
      <c r="S42" s="3699"/>
      <c r="T42" s="3699" t="e">
        <f>ROUND(PRODUCT(T41,AB7:AB40),0)</f>
        <v>#DIV/0!</v>
      </c>
      <c r="U42" s="3699"/>
      <c r="V42" s="3699" t="e">
        <f>ROUND(PRODUCT(V41,AC7:AC40),0)</f>
        <v>#DIV/0!</v>
      </c>
      <c r="W42" s="3699"/>
      <c r="X42" s="618"/>
      <c r="Y42" s="618"/>
      <c r="Z42" s="618"/>
      <c r="AA42" s="618"/>
      <c r="AB42" s="618"/>
      <c r="AC42" s="618"/>
    </row>
    <row r="43" spans="1:29" ht="15.75" thickBot="1">
      <c r="A43" s="378" t="s">
        <v>2334</v>
      </c>
      <c r="B43" s="379"/>
      <c r="C43" s="380" t="e">
        <f>R43</f>
        <v>#DIV/0!</v>
      </c>
      <c r="D43" s="380"/>
      <c r="E43" s="380"/>
      <c r="F43" s="380"/>
      <c r="G43" s="380"/>
      <c r="H43" s="380"/>
      <c r="I43" s="380"/>
      <c r="J43" s="380"/>
      <c r="K43" s="641"/>
      <c r="L43" s="3004"/>
      <c r="M43" s="2993"/>
      <c r="N43" s="2993"/>
      <c r="P43" s="3656" t="str">
        <f>A43</f>
        <v>估价对象XX用房的比较价值（楼面单价，元/平方米）</v>
      </c>
      <c r="Q43" s="3657"/>
      <c r="R43" s="3698" t="e">
        <f>ROUND(IF(D42="简单平均",AVERAGE(R42:W42),R42*F42+T42*H42+V42*J42),0)</f>
        <v>#DIV/0!</v>
      </c>
      <c r="S43" s="3698"/>
      <c r="T43" s="3698"/>
      <c r="U43" s="3698"/>
      <c r="V43" s="3698"/>
      <c r="W43" s="3698"/>
      <c r="X43" s="618"/>
      <c r="Y43" s="618"/>
      <c r="Z43" s="618"/>
      <c r="AA43" s="618"/>
      <c r="AB43" s="618"/>
      <c r="AC43" s="618"/>
    </row>
    <row r="44" spans="1:29">
      <c r="G44" s="3007"/>
      <c r="M44" s="2993"/>
      <c r="N44" s="2993"/>
    </row>
    <row r="45" spans="1:29">
      <c r="M45" s="2993"/>
      <c r="N45" s="2993"/>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2396</v>
      </c>
      <c r="B50" s="565" t="s">
        <v>2397</v>
      </c>
      <c r="C50" s="1560" t="s">
        <v>2398</v>
      </c>
      <c r="D50" s="1561" t="s">
        <v>2399</v>
      </c>
      <c r="E50" s="566" t="s">
        <v>2400</v>
      </c>
      <c r="F50" s="567" t="s">
        <v>2401</v>
      </c>
      <c r="G50" s="1304" t="s">
        <v>2434</v>
      </c>
      <c r="H50" s="1304" t="str">
        <f>项目基本情况!G8</f>
        <v>朝阳区</v>
      </c>
      <c r="I50" s="1278" t="s">
        <v>2403</v>
      </c>
      <c r="J50" s="956"/>
      <c r="K50" s="954"/>
    </row>
    <row r="51" spans="1:17" s="572" customFormat="1">
      <c r="A51" s="568" t="s">
        <v>2404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2405</v>
      </c>
      <c r="B52" s="94" t="e">
        <f>ROUND($C$43*C52*D52,0)</f>
        <v>#DIV/0!</v>
      </c>
      <c r="C52" s="51">
        <f>IF($C$50="北京市系数",G52,H52)</f>
        <v>0.8</v>
      </c>
      <c r="D52" s="980">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2406</v>
      </c>
      <c r="B53" s="94" t="e">
        <f t="shared" ref="B53:B60" si="16">ROUND($C$43*C53*D53,0)</f>
        <v>#DIV/0!</v>
      </c>
      <c r="C53" s="51">
        <f t="shared" ref="C53:C60" si="17">IF($C$50="北京市系数",G53,H53)</f>
        <v>0.5</v>
      </c>
      <c r="D53" s="980">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2407</v>
      </c>
      <c r="B54" s="94" t="e">
        <f t="shared" si="16"/>
        <v>#DIV/0!</v>
      </c>
      <c r="C54" s="51">
        <f t="shared" si="17"/>
        <v>0.36</v>
      </c>
      <c r="D54" s="980">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2408</v>
      </c>
      <c r="B55" s="94" t="e">
        <f t="shared" si="16"/>
        <v>#DIV/0!</v>
      </c>
      <c r="C55" s="51">
        <f t="shared" si="17"/>
        <v>0.3</v>
      </c>
      <c r="D55" s="980">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2409</v>
      </c>
      <c r="B56" s="94" t="e">
        <f t="shared" si="16"/>
        <v>#DIV/0!</v>
      </c>
      <c r="C56" s="51">
        <f t="shared" si="17"/>
        <v>0.25</v>
      </c>
      <c r="D56" s="980">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2410</v>
      </c>
      <c r="B57" s="94" t="e">
        <f t="shared" si="16"/>
        <v>#DIV/0!</v>
      </c>
      <c r="C57" s="51">
        <f t="shared" si="17"/>
        <v>0.25</v>
      </c>
      <c r="D57" s="980">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2411</v>
      </c>
      <c r="B58" s="94" t="e">
        <f t="shared" si="16"/>
        <v>#DIV/0!</v>
      </c>
      <c r="C58" s="51">
        <f t="shared" si="17"/>
        <v>0.2</v>
      </c>
      <c r="D58" s="980">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2412</v>
      </c>
      <c r="B59" s="94" t="e">
        <f t="shared" si="16"/>
        <v>#DIV/0!</v>
      </c>
      <c r="C59" s="51">
        <f t="shared" si="17"/>
        <v>0.2</v>
      </c>
      <c r="D59" s="980">
        <v>0.25</v>
      </c>
      <c r="E59" s="574">
        <v>0</v>
      </c>
      <c r="F59" s="571" t="e">
        <f t="shared" si="15"/>
        <v>#DIV/0!</v>
      </c>
      <c r="G59" s="796">
        <f>G58</f>
        <v>0.2</v>
      </c>
      <c r="H59" s="797"/>
      <c r="I59" s="388"/>
      <c r="J59" s="381"/>
      <c r="K59" s="382"/>
      <c r="L59" s="382"/>
      <c r="M59" s="296"/>
      <c r="N59" s="296"/>
      <c r="O59" s="296"/>
    </row>
    <row r="60" spans="1:17" s="572" customFormat="1">
      <c r="A60" s="573" t="s">
        <v>2413</v>
      </c>
      <c r="B60" s="94" t="e">
        <f t="shared" si="16"/>
        <v>#DIV/0!</v>
      </c>
      <c r="C60" s="51">
        <f t="shared" si="17"/>
        <v>0.2</v>
      </c>
      <c r="D60" s="980">
        <v>0.25</v>
      </c>
      <c r="E60" s="574">
        <v>0</v>
      </c>
      <c r="F60" s="571" t="e">
        <f t="shared" si="15"/>
        <v>#DIV/0!</v>
      </c>
      <c r="G60" s="796">
        <f>G58</f>
        <v>0.2</v>
      </c>
      <c r="H60" s="797"/>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2022-3-1</v>
      </c>
      <c r="D63" s="1151">
        <f>EDATE(C63,-3)</f>
        <v>44531</v>
      </c>
      <c r="E63" s="1151">
        <f t="shared" ref="E63:O63" si="18">EDATE(D63,-3)</f>
        <v>44440</v>
      </c>
      <c r="F63" s="1151">
        <f t="shared" si="18"/>
        <v>44348</v>
      </c>
      <c r="G63" s="1151">
        <f t="shared" si="18"/>
        <v>44256</v>
      </c>
      <c r="H63" s="1151">
        <f t="shared" si="18"/>
        <v>44166</v>
      </c>
      <c r="I63" s="1151">
        <f t="shared" si="18"/>
        <v>44075</v>
      </c>
      <c r="J63" s="1151">
        <f t="shared" si="18"/>
        <v>43983</v>
      </c>
      <c r="K63" s="1151">
        <f t="shared" si="18"/>
        <v>43891</v>
      </c>
      <c r="L63" s="1151">
        <f t="shared" si="18"/>
        <v>43800</v>
      </c>
      <c r="M63" s="1151">
        <f t="shared" si="18"/>
        <v>43709</v>
      </c>
      <c r="N63" s="1151">
        <f t="shared" si="18"/>
        <v>43617</v>
      </c>
      <c r="O63" s="1151">
        <f t="shared" si="18"/>
        <v>43525</v>
      </c>
    </row>
    <row r="64" spans="1:17" ht="21.75" thickBot="1">
      <c r="A64" s="620" t="s">
        <v>2316</v>
      </c>
      <c r="B64" s="618"/>
      <c r="C64" s="621"/>
      <c r="D64" s="621"/>
      <c r="E64" s="621"/>
      <c r="F64" s="622"/>
      <c r="G64" s="622"/>
      <c r="H64" s="621"/>
      <c r="I64" s="961"/>
      <c r="J64" s="961"/>
      <c r="K64" s="959"/>
      <c r="L64" s="960"/>
      <c r="M64" s="961"/>
      <c r="N64" s="961"/>
      <c r="O64" s="961"/>
      <c r="P64" s="389"/>
      <c r="Q64" s="390"/>
    </row>
    <row r="65" spans="1:17" s="394" customFormat="1" ht="15">
      <c r="A65" s="1563" t="s">
        <v>2415</v>
      </c>
      <c r="B65" s="1095"/>
      <c r="C65" s="1152" t="str">
        <f>YEAR(C63)&amp;"-"&amp;ROUNDUP(MONTH(C63)/3,0)</f>
        <v>2022-1</v>
      </c>
      <c r="D65" s="1152" t="str">
        <f t="shared" ref="D65:O65" si="19">YEAR(D63)&amp;"-"&amp;ROUNDUP(MONTH(D63)/3,0)</f>
        <v>2021-4</v>
      </c>
      <c r="E65" s="1152" t="str">
        <f t="shared" si="19"/>
        <v>2021-3</v>
      </c>
      <c r="F65" s="1152" t="str">
        <f t="shared" si="19"/>
        <v>2021-2</v>
      </c>
      <c r="G65" s="1152" t="str">
        <f t="shared" si="19"/>
        <v>2021-1</v>
      </c>
      <c r="H65" s="1152" t="str">
        <f t="shared" si="19"/>
        <v>2020-4</v>
      </c>
      <c r="I65" s="1152" t="str">
        <f t="shared" si="19"/>
        <v>2020-3</v>
      </c>
      <c r="J65" s="1152" t="str">
        <f t="shared" si="19"/>
        <v>2020-2</v>
      </c>
      <c r="K65" s="1152" t="str">
        <f t="shared" si="19"/>
        <v>2020-1</v>
      </c>
      <c r="L65" s="1152" t="str">
        <f t="shared" si="19"/>
        <v>2019-4</v>
      </c>
      <c r="M65" s="1152" t="str">
        <f t="shared" si="19"/>
        <v>2019-3</v>
      </c>
      <c r="N65" s="1152" t="str">
        <f t="shared" si="19"/>
        <v>2019-2</v>
      </c>
      <c r="O65" s="1152" t="str">
        <f t="shared" si="19"/>
        <v>2019-1</v>
      </c>
      <c r="P65" s="393"/>
    </row>
    <row r="66" spans="1:17" s="25" customFormat="1" ht="33.75" customHeight="1">
      <c r="A66" s="1568" t="s">
        <v>2435</v>
      </c>
      <c r="B66" s="200" t="str">
        <f>"北京市平均增长率"&amp;TEXT(基准地价修正!P24,"0.00%")</f>
        <v>北京市平均增长率1.20%</v>
      </c>
      <c r="C66" s="491">
        <v>100</v>
      </c>
      <c r="D66" s="483"/>
      <c r="E66" s="483"/>
      <c r="F66" s="483"/>
      <c r="G66" s="483"/>
      <c r="H66" s="483"/>
      <c r="I66" s="483"/>
      <c r="J66" s="483"/>
      <c r="K66" s="483"/>
      <c r="L66" s="483"/>
      <c r="M66" s="1150"/>
      <c r="N66" s="483"/>
      <c r="O66" s="1153"/>
      <c r="P66" s="390"/>
    </row>
    <row r="67" spans="1:17" s="25" customFormat="1" ht="15.75" thickBot="1">
      <c r="A67" s="400" t="s">
        <v>2236</v>
      </c>
      <c r="B67" s="401"/>
      <c r="C67" s="402"/>
      <c r="D67" s="403"/>
      <c r="E67" s="403"/>
      <c r="F67" s="403"/>
      <c r="G67" s="403"/>
      <c r="H67" s="403"/>
      <c r="I67" s="403"/>
      <c r="J67" s="403"/>
      <c r="K67" s="403"/>
      <c r="L67" s="403"/>
      <c r="M67" s="404"/>
      <c r="N67" s="403"/>
      <c r="O67" s="1154"/>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6" customWidth="1"/>
    <col min="3" max="3" width="9" style="977"/>
    <col min="4" max="5" width="9" style="978"/>
    <col min="6" max="6" width="9" style="979"/>
    <col min="7" max="7" width="11.875" style="835" customWidth="1"/>
    <col min="8" max="8" width="9" style="979"/>
    <col min="9" max="13" width="9" style="835"/>
    <col min="14" max="20" width="9" style="967"/>
    <col min="21" max="16384" width="9" style="835"/>
  </cols>
  <sheetData>
    <row r="1" spans="1:20" s="968" customFormat="1" ht="18" customHeight="1" thickBot="1">
      <c r="A1" s="672" t="s">
        <v>708</v>
      </c>
      <c r="B1" s="673"/>
      <c r="C1" s="963"/>
      <c r="D1" s="964"/>
      <c r="E1" s="964"/>
      <c r="F1" s="965"/>
      <c r="G1" s="966"/>
      <c r="H1" s="965"/>
      <c r="I1" s="966"/>
      <c r="J1" s="966"/>
      <c r="K1" s="966"/>
      <c r="L1" s="966"/>
      <c r="M1" s="966"/>
      <c r="N1" s="967"/>
      <c r="O1" s="967"/>
      <c r="P1" s="967"/>
      <c r="Q1" s="967"/>
      <c r="R1" s="967"/>
      <c r="S1" s="967"/>
      <c r="T1" s="967"/>
    </row>
    <row r="2" spans="1:20" ht="18" customHeight="1">
      <c r="A2" s="675" t="s">
        <v>132</v>
      </c>
      <c r="B2" s="676">
        <f>1+F4</f>
        <v>1.0128999999999999</v>
      </c>
      <c r="C2" s="677"/>
      <c r="D2" s="678"/>
      <c r="E2" s="678"/>
      <c r="F2" s="679"/>
      <c r="G2" s="969"/>
      <c r="H2" s="965"/>
      <c r="I2" s="966"/>
      <c r="J2" s="966"/>
      <c r="K2" s="966"/>
      <c r="L2" s="966"/>
      <c r="M2" s="966"/>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0"/>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0"/>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0"/>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0"/>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0"/>
      <c r="H9" s="794">
        <v>0.01</v>
      </c>
      <c r="I9" s="667">
        <f t="shared" si="2"/>
        <v>0.02</v>
      </c>
      <c r="J9" s="667">
        <f t="shared" si="3"/>
        <v>0.01</v>
      </c>
      <c r="K9" s="666">
        <v>0</v>
      </c>
      <c r="L9" s="667">
        <f t="shared" si="0"/>
        <v>-0.01</v>
      </c>
      <c r="M9" s="667">
        <f t="shared" si="0"/>
        <v>-0.02</v>
      </c>
    </row>
    <row r="10" spans="1:20" ht="14.25">
      <c r="A10" s="694" t="s">
        <v>719</v>
      </c>
      <c r="B10" s="919" t="str">
        <f>估价对象房地状况!C7</f>
        <v>估价对象所在区域公共配套设施齐备情况</v>
      </c>
      <c r="C10" s="668" t="s">
        <v>29</v>
      </c>
      <c r="D10" s="688">
        <f t="shared" si="1"/>
        <v>0.04</v>
      </c>
      <c r="E10" s="689">
        <v>0.05</v>
      </c>
      <c r="F10" s="693"/>
      <c r="G10" s="970"/>
      <c r="H10" s="794">
        <v>0.02</v>
      </c>
      <c r="I10" s="667">
        <f t="shared" si="2"/>
        <v>0.04</v>
      </c>
      <c r="J10" s="667">
        <f t="shared" si="3"/>
        <v>0.02</v>
      </c>
      <c r="K10" s="666">
        <v>0</v>
      </c>
      <c r="L10" s="667">
        <f t="shared" si="0"/>
        <v>-0.02</v>
      </c>
      <c r="M10" s="667">
        <f t="shared" si="0"/>
        <v>-0.04</v>
      </c>
    </row>
    <row r="11" spans="1:20" ht="14.25">
      <c r="A11" s="694" t="s">
        <v>720</v>
      </c>
      <c r="B11" s="920"/>
      <c r="C11" s="668" t="s">
        <v>31</v>
      </c>
      <c r="D11" s="688">
        <f t="shared" si="1"/>
        <v>0</v>
      </c>
      <c r="E11" s="689">
        <v>0.1</v>
      </c>
      <c r="F11" s="693"/>
      <c r="G11" s="970"/>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0"/>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1"/>
      <c r="D13" s="678"/>
      <c r="E13" s="678"/>
      <c r="F13" s="679"/>
      <c r="G13" s="969"/>
      <c r="H13" s="965"/>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0"/>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0"/>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0"/>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0"/>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0"/>
      <c r="H20" s="794">
        <v>0.01</v>
      </c>
      <c r="I20" s="667">
        <f t="shared" si="6"/>
        <v>0.02</v>
      </c>
      <c r="J20" s="667">
        <f t="shared" si="7"/>
        <v>0.01</v>
      </c>
      <c r="K20" s="666">
        <v>0</v>
      </c>
      <c r="L20" s="667">
        <f t="shared" si="5"/>
        <v>-0.01</v>
      </c>
      <c r="M20" s="667">
        <f t="shared" si="5"/>
        <v>-0.02</v>
      </c>
    </row>
    <row r="21" spans="1:20" ht="14.25">
      <c r="A21" s="681" t="s">
        <v>719</v>
      </c>
      <c r="B21" s="919" t="str">
        <f>估价对象房地状况!C7</f>
        <v>估价对象所在区域公共配套设施齐备情况</v>
      </c>
      <c r="C21" s="668" t="s">
        <v>713</v>
      </c>
      <c r="D21" s="688">
        <f t="shared" si="4"/>
        <v>0.02</v>
      </c>
      <c r="E21" s="689">
        <v>0.06</v>
      </c>
      <c r="F21" s="693"/>
      <c r="G21" s="970"/>
      <c r="H21" s="794">
        <v>0.02</v>
      </c>
      <c r="I21" s="667">
        <f t="shared" si="6"/>
        <v>0.04</v>
      </c>
      <c r="J21" s="667">
        <f t="shared" si="7"/>
        <v>0.02</v>
      </c>
      <c r="K21" s="666">
        <v>0</v>
      </c>
      <c r="L21" s="667">
        <f t="shared" si="5"/>
        <v>-0.02</v>
      </c>
      <c r="M21" s="667">
        <f t="shared" si="5"/>
        <v>-0.04</v>
      </c>
    </row>
    <row r="22" spans="1:20" ht="14.25">
      <c r="A22" s="681" t="s">
        <v>720</v>
      </c>
      <c r="B22" s="920"/>
      <c r="C22" s="668" t="s">
        <v>713</v>
      </c>
      <c r="D22" s="688">
        <f t="shared" si="4"/>
        <v>0.01</v>
      </c>
      <c r="E22" s="689">
        <v>0.12</v>
      </c>
      <c r="F22" s="693"/>
      <c r="G22" s="970"/>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0"/>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1"/>
      <c r="D24" s="678"/>
      <c r="E24" s="678"/>
      <c r="F24" s="679"/>
      <c r="G24" s="969"/>
      <c r="H24" s="965"/>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2"/>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2"/>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2"/>
      <c r="H29" s="794">
        <v>2.5000000000000001E-2</v>
      </c>
      <c r="I29" s="667">
        <f t="shared" si="10"/>
        <v>0.05</v>
      </c>
      <c r="J29" s="667">
        <f t="shared" si="11"/>
        <v>2.5000000000000001E-2</v>
      </c>
      <c r="K29" s="666">
        <v>0</v>
      </c>
      <c r="L29" s="667">
        <f t="shared" si="9"/>
        <v>-2.5000000000000001E-2</v>
      </c>
      <c r="M29" s="667">
        <f t="shared" si="9"/>
        <v>-0.05</v>
      </c>
    </row>
    <row r="30" spans="1:20" s="968" customFormat="1" ht="14.25">
      <c r="A30" s="681" t="s">
        <v>719</v>
      </c>
      <c r="B30" s="919" t="str">
        <f>估价对象房地状况!C7</f>
        <v>估价对象所在区域公共配套设施齐备情况</v>
      </c>
      <c r="C30" s="668" t="s">
        <v>713</v>
      </c>
      <c r="D30" s="688">
        <f t="shared" si="8"/>
        <v>0.03</v>
      </c>
      <c r="E30" s="689">
        <v>0.08</v>
      </c>
      <c r="F30" s="701"/>
      <c r="G30" s="972"/>
      <c r="H30" s="794">
        <v>0.03</v>
      </c>
      <c r="I30" s="667">
        <f t="shared" si="10"/>
        <v>0.06</v>
      </c>
      <c r="J30" s="667">
        <f t="shared" si="11"/>
        <v>0.03</v>
      </c>
      <c r="K30" s="666">
        <v>0</v>
      </c>
      <c r="L30" s="667">
        <f t="shared" si="9"/>
        <v>-0.03</v>
      </c>
      <c r="M30" s="667">
        <f t="shared" si="9"/>
        <v>-0.06</v>
      </c>
      <c r="N30" s="967"/>
      <c r="O30" s="967"/>
      <c r="P30" s="967"/>
      <c r="Q30" s="967"/>
      <c r="R30" s="967"/>
      <c r="S30" s="967"/>
      <c r="T30" s="967"/>
    </row>
    <row r="31" spans="1:20" ht="14.25">
      <c r="A31" s="681" t="s">
        <v>720</v>
      </c>
      <c r="B31" s="920"/>
      <c r="C31" s="668" t="s">
        <v>29</v>
      </c>
      <c r="D31" s="688">
        <f t="shared" si="8"/>
        <v>0.06</v>
      </c>
      <c r="E31" s="689">
        <v>0.12</v>
      </c>
      <c r="F31" s="701"/>
      <c r="G31" s="972"/>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2"/>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2"/>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2"/>
      <c r="H34" s="794">
        <v>0.03</v>
      </c>
      <c r="I34" s="667">
        <f t="shared" si="10"/>
        <v>0.06</v>
      </c>
      <c r="J34" s="667">
        <f t="shared" si="11"/>
        <v>0.03</v>
      </c>
      <c r="K34" s="666">
        <v>0</v>
      </c>
      <c r="L34" s="667">
        <f t="shared" si="9"/>
        <v>-0.03</v>
      </c>
      <c r="M34" s="667">
        <f t="shared" si="9"/>
        <v>-0.06</v>
      </c>
    </row>
    <row r="35" spans="1:13" ht="15">
      <c r="A35" s="675" t="s">
        <v>135</v>
      </c>
      <c r="B35" s="676">
        <f>1+F37</f>
        <v>1.0127999999999999</v>
      </c>
      <c r="C35" s="971"/>
      <c r="D35" s="678"/>
      <c r="E35" s="678"/>
      <c r="F35" s="679"/>
      <c r="G35" s="969"/>
      <c r="H35" s="965"/>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2"/>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2"/>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2"/>
      <c r="H40" s="794">
        <v>0.01</v>
      </c>
      <c r="I40" s="667">
        <f t="shared" si="14"/>
        <v>0.02</v>
      </c>
      <c r="J40" s="667">
        <f t="shared" si="15"/>
        <v>0.01</v>
      </c>
      <c r="K40" s="666">
        <v>0</v>
      </c>
      <c r="L40" s="667">
        <f t="shared" si="13"/>
        <v>-0.01</v>
      </c>
      <c r="M40" s="667">
        <f t="shared" si="13"/>
        <v>-0.02</v>
      </c>
    </row>
    <row r="41" spans="1:13" ht="14.25">
      <c r="A41" s="681" t="s">
        <v>719</v>
      </c>
      <c r="B41" s="919" t="str">
        <f>估价对象房地状况!G19</f>
        <v>估价对象所在区域公共配套设施齐备情况</v>
      </c>
      <c r="C41" s="668" t="s">
        <v>713</v>
      </c>
      <c r="D41" s="688">
        <f t="shared" si="12"/>
        <v>0.02</v>
      </c>
      <c r="E41" s="689">
        <v>0.06</v>
      </c>
      <c r="F41" s="701"/>
      <c r="G41" s="972"/>
      <c r="H41" s="794">
        <v>0.02</v>
      </c>
      <c r="I41" s="667">
        <f t="shared" si="14"/>
        <v>0.04</v>
      </c>
      <c r="J41" s="667">
        <f t="shared" si="15"/>
        <v>0.02</v>
      </c>
      <c r="K41" s="666">
        <v>0</v>
      </c>
      <c r="L41" s="667">
        <f t="shared" si="13"/>
        <v>-0.02</v>
      </c>
      <c r="M41" s="667">
        <f t="shared" si="13"/>
        <v>-0.04</v>
      </c>
    </row>
    <row r="42" spans="1:13" ht="14.25">
      <c r="A42" s="681" t="s">
        <v>720</v>
      </c>
      <c r="B42" s="920"/>
      <c r="C42" s="668" t="s">
        <v>713</v>
      </c>
      <c r="D42" s="688">
        <f t="shared" si="12"/>
        <v>0.01</v>
      </c>
      <c r="E42" s="689">
        <v>0.15</v>
      </c>
      <c r="F42" s="701"/>
      <c r="G42" s="972"/>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2"/>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2"/>
      <c r="H44" s="794">
        <v>0.01</v>
      </c>
      <c r="I44" s="667">
        <f t="shared" si="14"/>
        <v>0.02</v>
      </c>
      <c r="J44" s="667">
        <f t="shared" si="15"/>
        <v>0.01</v>
      </c>
      <c r="K44" s="666">
        <v>0</v>
      </c>
      <c r="L44" s="667">
        <f t="shared" si="13"/>
        <v>-0.01</v>
      </c>
      <c r="M44" s="667">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15" workbookViewId="0">
      <selection activeCell="B139" sqref="B139"/>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2645</v>
      </c>
      <c r="B3" s="2307"/>
      <c r="C3" s="2307"/>
      <c r="D3" s="2308"/>
      <c r="E3" s="2308"/>
      <c r="F3" s="2307"/>
      <c r="G3" s="2309"/>
      <c r="H3" s="2310"/>
      <c r="I3" s="2311">
        <f>ROUND(AVERAGE(I4:I37),2)</f>
        <v>1.64</v>
      </c>
      <c r="J3" s="2311">
        <f>ROUND(AVERAGE(J4:J37),2)</f>
        <v>1.03</v>
      </c>
      <c r="K3" s="2311">
        <f>ROUND(AVERAGE(K4:K37),2)</f>
        <v>1.81</v>
      </c>
      <c r="L3" s="2312">
        <f>ROUND(AVERAGE(L4:L37),2)</f>
        <v>1.2</v>
      </c>
      <c r="N3" s="2309"/>
      <c r="S3" s="2309"/>
      <c r="W3" s="2314"/>
      <c r="X3" s="2315">
        <f>ROUND(SUMPRODUCT(PRODUCT(1+N3:N$36)),4)</f>
        <v>1.6585000000000001</v>
      </c>
      <c r="Y3" s="2315">
        <f>ROUND(SUMPRODUCT(PRODUCT(1+O3:O$36)),4)</f>
        <v>1.3676999999999999</v>
      </c>
      <c r="Z3" s="2315">
        <f t="shared" ref="Z3:Z34" si="0">Y3</f>
        <v>1.3676999999999999</v>
      </c>
      <c r="AA3" s="2315">
        <f>ROUND(SUMPRODUCT(PRODUCT(1+P3:P$36)),4)</f>
        <v>1.7434000000000001</v>
      </c>
      <c r="AB3" s="2315">
        <f>ROUND(SUMPRODUCT(PRODUCT(1+Q3:Q$36)),4)</f>
        <v>1.4609000000000001</v>
      </c>
      <c r="AD3" s="2316">
        <f>ROUND(AVERAGE(I3:I$37)/100,4)</f>
        <v>1.6400000000000001E-2</v>
      </c>
      <c r="AE3" s="2316">
        <f>ROUND(AVERAGE(J3:J$37)/100,4)</f>
        <v>1.03E-2</v>
      </c>
      <c r="AF3" s="2316">
        <f t="shared" ref="AF3:AF25" si="1">AE3</f>
        <v>1.03E-2</v>
      </c>
      <c r="AG3" s="2316">
        <f>ROUND(AVERAGE(K3:K$37)/100,4)</f>
        <v>1.8100000000000002E-2</v>
      </c>
      <c r="AH3" s="2316">
        <f>ROUND(AVERAGE(L3:L$37)/100,4)</f>
        <v>1.2E-2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2976</v>
      </c>
      <c r="B5" s="2326">
        <f t="shared" ref="B5" si="2">B6*(1+N5)</f>
        <v>510.07089659554606</v>
      </c>
      <c r="C5" s="2326">
        <f t="shared" ref="C5" si="3">C6*(1+O5)</f>
        <v>352.55593185737411</v>
      </c>
      <c r="D5" s="2327">
        <f t="shared" ref="D5" si="4">C5</f>
        <v>352.55593185737411</v>
      </c>
      <c r="E5" s="2326">
        <f t="shared" ref="E5" si="5">E6*(1+P5)</f>
        <v>737.27992463403655</v>
      </c>
      <c r="F5" s="2326">
        <f t="shared" ref="F5" si="6">F6*(1+Q5)</f>
        <v>335.88319198297864</v>
      </c>
      <c r="G5" s="3313">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2644</v>
      </c>
      <c r="X5" s="2335">
        <f>ROUND(SUMPRODUCT(PRODUCT(1+N5:N$36)),4)</f>
        <v>1.6585000000000001</v>
      </c>
      <c r="Y5" s="2335">
        <f>ROUND(SUMPRODUCT(PRODUCT(1+O5:O$36)),4)</f>
        <v>1.3676999999999999</v>
      </c>
      <c r="Z5" s="2335">
        <f t="shared" ref="Z5" si="11">Y5</f>
        <v>1.3676999999999999</v>
      </c>
      <c r="AA5" s="2335">
        <f>ROUND(SUMPRODUCT(PRODUCT(1+P5:P$36)),4)</f>
        <v>1.7434000000000001</v>
      </c>
      <c r="AB5" s="2335">
        <f>ROUND(SUMPRODUCT(PRODUCT(1+Q5:Q$36)),4)</f>
        <v>1.4609000000000001</v>
      </c>
      <c r="AD5" s="2336">
        <f>ROUND(AVERAGE(I5:I$37)/100,4)</f>
        <v>1.6400000000000001E-2</v>
      </c>
      <c r="AE5" s="2336">
        <f>ROUND(AVERAGE(J5:J$37)/100,4)</f>
        <v>1.03E-2</v>
      </c>
      <c r="AF5" s="2336">
        <f t="shared" ref="AF5" si="12">AE5</f>
        <v>1.03E-2</v>
      </c>
      <c r="AG5" s="2336">
        <f>ROUND(AVERAGE(K5:K$37)/100,4)</f>
        <v>1.8100000000000002E-2</v>
      </c>
      <c r="AH5" s="2336">
        <f>ROUND(AVERAGE(L5:L$37)/100,4)</f>
        <v>1.2E-2</v>
      </c>
    </row>
    <row r="6" spans="1:34" s="2344" customFormat="1" ht="14.45" customHeight="1">
      <c r="A6" s="2337" t="s">
        <v>2975</v>
      </c>
      <c r="B6" s="2338">
        <f t="shared" ref="B6" si="13">B7*(1+N6)</f>
        <v>510.07089659554606</v>
      </c>
      <c r="C6" s="2338">
        <f t="shared" ref="C6" si="14">C7*(1+O6)</f>
        <v>352.55593185737411</v>
      </c>
      <c r="D6" s="2338">
        <f t="shared" ref="D6" si="15">C6</f>
        <v>352.55593185737411</v>
      </c>
      <c r="E6" s="2338">
        <f t="shared" ref="E6" si="16">E7*(1+P6)</f>
        <v>737.27992463403655</v>
      </c>
      <c r="F6" s="2338">
        <f t="shared" ref="F6" si="17">F7*(1+Q6)</f>
        <v>335.88319198297864</v>
      </c>
      <c r="G6" s="3313">
        <v>2021</v>
      </c>
      <c r="H6" s="2339">
        <v>4</v>
      </c>
      <c r="I6" s="3128">
        <v>1.03</v>
      </c>
      <c r="J6" s="3128">
        <v>0.24</v>
      </c>
      <c r="K6" s="3128">
        <v>1.17</v>
      </c>
      <c r="L6" s="3129">
        <v>0.55000000000000004</v>
      </c>
      <c r="M6" s="2341"/>
      <c r="N6" s="2342">
        <f t="shared" ref="N6" si="18">I6/100</f>
        <v>1.03E-2</v>
      </c>
      <c r="O6" s="2343">
        <f t="shared" ref="O6" si="19">J6/100</f>
        <v>2.3999999999999998E-3</v>
      </c>
      <c r="P6" s="2343">
        <f t="shared" ref="P6" si="20">K6/100</f>
        <v>1.1699999999999999E-2</v>
      </c>
      <c r="Q6" s="2343">
        <f t="shared" ref="Q6" si="21">L6/100</f>
        <v>5.5000000000000005E-3</v>
      </c>
      <c r="R6" s="2341"/>
      <c r="S6" s="2342"/>
      <c r="T6" s="2343"/>
      <c r="U6" s="2343"/>
      <c r="V6" s="2343"/>
      <c r="W6" s="2341"/>
      <c r="X6" s="2341">
        <f>ROUND(SUMPRODUCT(PRODUCT(1+N6:N$36)),4)</f>
        <v>1.6585000000000001</v>
      </c>
      <c r="Y6" s="2341">
        <f>ROUND(SUMPRODUCT(PRODUCT(1+O6:O$36)),4)</f>
        <v>1.3676999999999999</v>
      </c>
      <c r="Z6" s="2341">
        <f t="shared" ref="Z6" si="22">Y6</f>
        <v>1.3676999999999999</v>
      </c>
      <c r="AA6" s="2341">
        <f>ROUND(SUMPRODUCT(PRODUCT(1+P6:P$36)),4)</f>
        <v>1.7434000000000001</v>
      </c>
      <c r="AB6" s="2341">
        <f>ROUND(SUMPRODUCT(PRODUCT(1+Q6:Q$36)),4)</f>
        <v>1.4609000000000001</v>
      </c>
      <c r="AC6" s="2341"/>
      <c r="AD6" s="2343">
        <f>ROUND(AVERAGE(I6:I$37)/100,4)</f>
        <v>1.6899999999999998E-2</v>
      </c>
      <c r="AE6" s="2343">
        <f>ROUND(AVERAGE(J6:J$37)/100,4)</f>
        <v>1.06E-2</v>
      </c>
      <c r="AF6" s="2343">
        <f t="shared" ref="AF6" si="23">AE6</f>
        <v>1.06E-2</v>
      </c>
      <c r="AG6" s="2343">
        <f>ROUND(AVERAGE(K6:K$37)/100,4)</f>
        <v>1.8700000000000001E-2</v>
      </c>
      <c r="AH6" s="2343">
        <f>ROUND(AVERAGE(L6:L$37)/100,4)</f>
        <v>1.24E-2</v>
      </c>
    </row>
    <row r="7" spans="1:34" s="2344" customFormat="1" ht="14.45" customHeight="1">
      <c r="A7" s="2337" t="s">
        <v>2829</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30">
        <v>2021</v>
      </c>
      <c r="H7" s="2339">
        <v>3</v>
      </c>
      <c r="I7" s="3128">
        <v>0.47</v>
      </c>
      <c r="J7" s="3128">
        <v>0.41</v>
      </c>
      <c r="K7" s="3128">
        <v>0.48</v>
      </c>
      <c r="L7" s="3129">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2828</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7">
        <v>2021</v>
      </c>
      <c r="H8" s="2339">
        <v>2</v>
      </c>
      <c r="I8" s="3128">
        <v>0.92</v>
      </c>
      <c r="J8" s="3128">
        <v>0.72</v>
      </c>
      <c r="K8" s="3128">
        <v>0.95</v>
      </c>
      <c r="L8" s="3129">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2827</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6">
        <v>2021</v>
      </c>
      <c r="H9" s="2339">
        <v>1</v>
      </c>
      <c r="I9" s="3128">
        <v>0.97</v>
      </c>
      <c r="J9" s="3128">
        <v>0.16</v>
      </c>
      <c r="K9" s="3128">
        <v>1.1100000000000001</v>
      </c>
      <c r="L9" s="3129">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2824</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7">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2823</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6">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2675</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2672</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2670</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2667</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2661</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2662</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2657</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08">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2652</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08"/>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2651</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08"/>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2649</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15"/>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2646</v>
      </c>
      <c r="B22" s="2347">
        <v>439</v>
      </c>
      <c r="C22" s="2347">
        <v>327</v>
      </c>
      <c r="D22" s="2347">
        <f t="shared" si="169"/>
        <v>327</v>
      </c>
      <c r="E22" s="2347">
        <v>627</v>
      </c>
      <c r="F22" s="2348">
        <v>283</v>
      </c>
      <c r="G22" s="3711">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2643</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08"/>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1189</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08"/>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15"/>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11">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08"/>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08"/>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09"/>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07">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08"/>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08"/>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09"/>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07">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08"/>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08"/>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09"/>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12">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13"/>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13"/>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14"/>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07">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08"/>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08"/>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09"/>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07">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08">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08">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09">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07">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08">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08">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09">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07">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08">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08">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09">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07">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08">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08">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09">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07">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08">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08">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09">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07">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08">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08">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09">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07">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08">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08">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09">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07">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08">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08">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09">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07">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08">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08">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09">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07">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08">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08">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09">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44636</v>
      </c>
      <c r="D1" s="1262" t="s">
        <v>1117</v>
      </c>
      <c r="E1" s="1268">
        <f>'数据-取费表'!B24</f>
        <v>2</v>
      </c>
      <c r="F1" s="1262" t="s">
        <v>1118</v>
      </c>
      <c r="G1" s="1269">
        <f ca="1">INDIRECT("d"&amp;$K$1)/100</f>
        <v>3.7000000000000005E-2</v>
      </c>
      <c r="H1" s="1262" t="s">
        <v>1148</v>
      </c>
      <c r="I1" s="1269">
        <f ca="1">F4/100</f>
        <v>1.4999999999999999E-2</v>
      </c>
      <c r="J1" s="1263">
        <f>IF(C1&gt;C13,0,MATCH(C1,C$13:C$107,-1))+IF(SUMIF(C13:C107,C1,D13:D107)=0,13,12)</f>
        <v>13</v>
      </c>
      <c r="K1" s="1263">
        <f>MATCH(E1,C3:C7,1)+IF(SUMIF(C3:C7,E1,D3:D7)=0,2,1)</f>
        <v>5</v>
      </c>
      <c r="L1" s="1263">
        <f>IF(C1&gt;M13,0,MATCH(C1,M$13:M$100,-1))+IF(SUMIF(M13:M100,C1,N13:N100)=0,13,12)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3.7</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3.7</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3.7</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3.7</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4.5999999999999996</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44581</v>
      </c>
      <c r="D13" s="1251">
        <v>3.7</v>
      </c>
      <c r="E13" s="1251">
        <f t="shared" ref="E13:E19" si="0">D13</f>
        <v>3.7</v>
      </c>
      <c r="F13" s="1251">
        <f t="shared" ref="F13:F19" si="1">D13</f>
        <v>3.7</v>
      </c>
      <c r="G13" s="1251">
        <f t="shared" ref="G13:G19" si="2">D13</f>
        <v>3.7</v>
      </c>
      <c r="H13" s="1251">
        <v>4.5999999999999996</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4.25">
      <c r="A14" s="1248"/>
      <c r="B14" s="1255"/>
      <c r="C14" s="1256">
        <v>44550</v>
      </c>
      <c r="D14" s="1255">
        <v>3.8</v>
      </c>
      <c r="E14" s="1255">
        <f t="shared" si="0"/>
        <v>3.8</v>
      </c>
      <c r="F14" s="1255">
        <f t="shared" ref="F14" si="3">D14</f>
        <v>3.8</v>
      </c>
      <c r="G14" s="1255">
        <f t="shared" ref="G14" si="4">D14</f>
        <v>3.8</v>
      </c>
      <c r="H14" s="1255">
        <v>4.6500000000000004</v>
      </c>
      <c r="I14" s="1251"/>
      <c r="J14" s="1251"/>
      <c r="K14" s="1248"/>
      <c r="L14" s="1255"/>
      <c r="M14" s="1256">
        <v>42242</v>
      </c>
      <c r="N14" s="1255">
        <v>0.35</v>
      </c>
      <c r="O14" s="1255">
        <v>1.35</v>
      </c>
      <c r="P14" s="1255">
        <v>1.55</v>
      </c>
      <c r="Q14" s="1255">
        <v>1.75</v>
      </c>
      <c r="R14" s="1255">
        <v>2.35</v>
      </c>
      <c r="S14" s="1255">
        <v>3</v>
      </c>
      <c r="T14" s="1255"/>
      <c r="U14" s="1255"/>
      <c r="V14" s="1255"/>
      <c r="W14" s="1255"/>
      <c r="X14" s="1255"/>
      <c r="Y14" s="1255"/>
      <c r="Z14" s="1255"/>
    </row>
    <row r="15" spans="1:257">
      <c r="B15" s="1255"/>
      <c r="C15" s="1256">
        <v>43941</v>
      </c>
      <c r="D15" s="1255">
        <v>3.85</v>
      </c>
      <c r="E15" s="1255">
        <f t="shared" si="0"/>
        <v>3.85</v>
      </c>
      <c r="F15" s="1255">
        <f t="shared" si="1"/>
        <v>3.85</v>
      </c>
      <c r="G15" s="1255">
        <f t="shared" si="2"/>
        <v>3.85</v>
      </c>
      <c r="H15" s="1255">
        <v>4.6500000000000004</v>
      </c>
      <c r="I15" s="1255"/>
      <c r="J15" s="1255"/>
      <c r="L15" s="1255"/>
      <c r="M15" s="1256">
        <v>42183</v>
      </c>
      <c r="N15" s="1255">
        <v>0.35</v>
      </c>
      <c r="O15" s="1255">
        <v>1.6</v>
      </c>
      <c r="P15" s="1255">
        <v>1.8</v>
      </c>
      <c r="Q15" s="1255">
        <v>2</v>
      </c>
      <c r="R15" s="1255">
        <v>2.6</v>
      </c>
      <c r="S15" s="1255">
        <v>3.25</v>
      </c>
      <c r="T15" s="1255"/>
      <c r="U15" s="1255"/>
      <c r="V15" s="1255"/>
      <c r="W15" s="1255"/>
      <c r="X15" s="1255"/>
      <c r="Y15" s="1255"/>
      <c r="Z15" s="1255"/>
    </row>
    <row r="16" spans="1:257">
      <c r="B16" s="1255"/>
      <c r="C16" s="1256">
        <v>43881</v>
      </c>
      <c r="D16" s="1255">
        <v>4.05</v>
      </c>
      <c r="E16" s="1255">
        <f t="shared" si="0"/>
        <v>4.05</v>
      </c>
      <c r="F16" s="1255">
        <f t="shared" si="1"/>
        <v>4.05</v>
      </c>
      <c r="G16" s="1255">
        <f t="shared" si="2"/>
        <v>4.05</v>
      </c>
      <c r="H16" s="1255">
        <v>4.75</v>
      </c>
      <c r="I16" s="1255"/>
      <c r="J16" s="1255"/>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c r="B17" s="1255"/>
      <c r="C17" s="1256">
        <v>43789</v>
      </c>
      <c r="D17" s="1255">
        <v>4.1500000000000004</v>
      </c>
      <c r="E17" s="1255">
        <f t="shared" si="0"/>
        <v>4.1500000000000004</v>
      </c>
      <c r="F17" s="1255">
        <f t="shared" si="1"/>
        <v>4.1500000000000004</v>
      </c>
      <c r="G17" s="1255">
        <f t="shared" si="2"/>
        <v>4.1500000000000004</v>
      </c>
      <c r="H17" s="1255">
        <v>4.8</v>
      </c>
      <c r="I17" s="1255"/>
      <c r="J17" s="1255"/>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s="3121" customFormat="1" ht="15">
      <c r="A18" s="1206"/>
      <c r="B18" s="1255"/>
      <c r="C18" s="1256">
        <v>43728</v>
      </c>
      <c r="D18" s="1255">
        <v>4.2</v>
      </c>
      <c r="E18" s="1255">
        <f t="shared" si="0"/>
        <v>4.2</v>
      </c>
      <c r="F18" s="1255">
        <f t="shared" si="1"/>
        <v>4.2</v>
      </c>
      <c r="G18" s="1255">
        <f t="shared" si="2"/>
        <v>4.2</v>
      </c>
      <c r="H18" s="1255">
        <v>4.8499999999999996</v>
      </c>
      <c r="I18" s="1255"/>
      <c r="J18" s="1255"/>
      <c r="K18" s="1206"/>
      <c r="L18" s="1255"/>
      <c r="M18" s="1256">
        <v>41965</v>
      </c>
      <c r="N18" s="1255">
        <v>0.35</v>
      </c>
      <c r="O18" s="1255">
        <v>2.35</v>
      </c>
      <c r="P18" s="1255">
        <v>2.5499999999999998</v>
      </c>
      <c r="Q18" s="1255">
        <v>2.75</v>
      </c>
      <c r="R18" s="1255">
        <v>3.35</v>
      </c>
      <c r="S18" s="1255">
        <v>4</v>
      </c>
      <c r="T18" s="1255">
        <v>4.75</v>
      </c>
      <c r="U18" s="1257">
        <v>2.35</v>
      </c>
      <c r="V18" s="1257">
        <v>2.5499999999999998</v>
      </c>
      <c r="W18" s="1257">
        <v>2.75</v>
      </c>
      <c r="X18" s="1255"/>
      <c r="Y18" s="1257">
        <v>0.8</v>
      </c>
      <c r="Z18" s="1257">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49" t="s">
        <v>2825</v>
      </c>
      <c r="C19" s="1258">
        <v>43697</v>
      </c>
      <c r="D19" s="3119">
        <v>4.25</v>
      </c>
      <c r="E19" s="3119">
        <f t="shared" si="0"/>
        <v>4.25</v>
      </c>
      <c r="F19" s="3119">
        <f t="shared" si="1"/>
        <v>4.25</v>
      </c>
      <c r="G19" s="3119">
        <f t="shared" si="2"/>
        <v>4.25</v>
      </c>
      <c r="H19" s="3119">
        <v>4.8499999999999996</v>
      </c>
      <c r="I19" s="3119"/>
      <c r="J19" s="3119"/>
      <c r="K19" s="3118"/>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row>
    <row r="20" spans="1:256">
      <c r="B20" s="1255"/>
      <c r="C20" s="1256">
        <v>42301</v>
      </c>
      <c r="D20" s="1255">
        <v>4.3499999999999996</v>
      </c>
      <c r="E20" s="1255">
        <v>4.3499999999999996</v>
      </c>
      <c r="F20" s="1255">
        <v>4.75</v>
      </c>
      <c r="G20" s="1255">
        <v>4.75</v>
      </c>
      <c r="H20" s="1255">
        <v>4.9000000000000004</v>
      </c>
      <c r="I20" s="1255">
        <v>2.75</v>
      </c>
      <c r="J20" s="1255">
        <v>3.25</v>
      </c>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c r="B21" s="1255"/>
      <c r="C21" s="1256">
        <v>42242</v>
      </c>
      <c r="D21" s="1255">
        <v>4.5999999999999996</v>
      </c>
      <c r="E21" s="1255">
        <v>4.5999999999999996</v>
      </c>
      <c r="F21" s="1255">
        <v>5</v>
      </c>
      <c r="G21" s="1255">
        <v>5</v>
      </c>
      <c r="H21" s="1255">
        <v>5.15</v>
      </c>
      <c r="I21" s="1255">
        <v>2.75</v>
      </c>
      <c r="J21" s="1255">
        <v>3.25</v>
      </c>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c r="B22" s="1255"/>
      <c r="C22" s="1256">
        <v>42183</v>
      </c>
      <c r="D22" s="1255">
        <v>4.8499999999999996</v>
      </c>
      <c r="E22" s="1255">
        <v>4.8499999999999996</v>
      </c>
      <c r="F22" s="1255">
        <v>5.25</v>
      </c>
      <c r="G22" s="1255">
        <v>5.25</v>
      </c>
      <c r="H22" s="1255">
        <v>5.4</v>
      </c>
      <c r="I22" s="1255">
        <v>3</v>
      </c>
      <c r="J22" s="1255">
        <v>3.5</v>
      </c>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c r="B23" s="1255"/>
      <c r="C23" s="1256">
        <v>42135</v>
      </c>
      <c r="D23" s="1255">
        <v>5.0999999999999996</v>
      </c>
      <c r="E23" s="1255">
        <v>5.0999999999999996</v>
      </c>
      <c r="F23" s="1255">
        <v>5.5</v>
      </c>
      <c r="G23" s="1255">
        <v>5.5</v>
      </c>
      <c r="H23" s="1255">
        <v>5.65</v>
      </c>
      <c r="I23" s="1255">
        <v>3.25</v>
      </c>
      <c r="J23" s="1255">
        <v>3.75</v>
      </c>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c r="B24" s="1255"/>
      <c r="C24" s="1256">
        <v>42064</v>
      </c>
      <c r="D24" s="1255">
        <v>5.35</v>
      </c>
      <c r="E24" s="1255">
        <v>5.35</v>
      </c>
      <c r="F24" s="1255">
        <v>5.75</v>
      </c>
      <c r="G24" s="1255">
        <v>5.75</v>
      </c>
      <c r="H24" s="1255">
        <v>5.9</v>
      </c>
      <c r="I24" s="1255"/>
      <c r="J24" s="1255"/>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41965</v>
      </c>
      <c r="D25" s="1255">
        <v>5.6</v>
      </c>
      <c r="E25" s="1255">
        <v>5.6</v>
      </c>
      <c r="F25" s="1255">
        <v>6</v>
      </c>
      <c r="G25" s="1255">
        <v>6</v>
      </c>
      <c r="H25" s="1255">
        <v>6.15</v>
      </c>
      <c r="I25" s="1255"/>
      <c r="J25" s="1255"/>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41096</v>
      </c>
      <c r="D26" s="1255">
        <v>5.6</v>
      </c>
      <c r="E26" s="1255">
        <v>6</v>
      </c>
      <c r="F26" s="1255">
        <v>6.15</v>
      </c>
      <c r="G26" s="1255">
        <v>6.4</v>
      </c>
      <c r="H26" s="1255">
        <v>6.55</v>
      </c>
      <c r="I26" s="1255">
        <v>4</v>
      </c>
      <c r="J26" s="1255">
        <v>4.5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41068</v>
      </c>
      <c r="D27" s="1255">
        <v>5.85</v>
      </c>
      <c r="E27" s="1255">
        <v>6.31</v>
      </c>
      <c r="F27" s="1255">
        <v>6.4</v>
      </c>
      <c r="G27" s="1255">
        <v>6.65</v>
      </c>
      <c r="H27" s="1255">
        <v>6.8</v>
      </c>
      <c r="I27" s="1255">
        <v>4.2</v>
      </c>
      <c r="J27" s="1255">
        <v>4.7</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40731</v>
      </c>
      <c r="D28" s="1255">
        <v>6.1</v>
      </c>
      <c r="E28" s="1255">
        <v>6.56</v>
      </c>
      <c r="F28" s="1255">
        <v>6.65</v>
      </c>
      <c r="G28" s="1255">
        <v>6.9</v>
      </c>
      <c r="H28" s="1255">
        <v>7.05</v>
      </c>
      <c r="I28" s="1255">
        <v>4.45</v>
      </c>
      <c r="J28" s="1255">
        <v>4.9000000000000004</v>
      </c>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40639</v>
      </c>
      <c r="D29" s="1255">
        <v>5.85</v>
      </c>
      <c r="E29" s="1255">
        <v>6.31</v>
      </c>
      <c r="F29" s="1255">
        <v>6.4</v>
      </c>
      <c r="G29" s="1255">
        <v>6.65</v>
      </c>
      <c r="H29" s="1255">
        <v>6.8</v>
      </c>
      <c r="I29" s="1255">
        <v>4.2</v>
      </c>
      <c r="J29" s="1255">
        <v>4.7</v>
      </c>
      <c r="L29" s="1255"/>
      <c r="M29" s="1258">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40583</v>
      </c>
      <c r="D30" s="1255">
        <v>5.6</v>
      </c>
      <c r="E30" s="1255">
        <v>6.06</v>
      </c>
      <c r="F30" s="1255">
        <v>6.1</v>
      </c>
      <c r="G30" s="1255">
        <v>6.45</v>
      </c>
      <c r="H30" s="1255">
        <v>6.6</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40538</v>
      </c>
      <c r="D31" s="1255">
        <v>5.35</v>
      </c>
      <c r="E31" s="1255">
        <v>5.81</v>
      </c>
      <c r="F31" s="1255">
        <v>5.85</v>
      </c>
      <c r="G31" s="1255">
        <v>6.22</v>
      </c>
      <c r="H31" s="1255">
        <v>6.4</v>
      </c>
      <c r="I31" s="1255">
        <v>3.75</v>
      </c>
      <c r="J31" s="1255">
        <v>4.3</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40471</v>
      </c>
      <c r="D32" s="1255">
        <v>5.0999999999999996</v>
      </c>
      <c r="E32" s="1255">
        <v>5.56</v>
      </c>
      <c r="F32" s="1255">
        <v>5.6</v>
      </c>
      <c r="G32" s="1255">
        <v>5.96</v>
      </c>
      <c r="H32" s="1255">
        <v>6.14</v>
      </c>
      <c r="I32" s="1255">
        <v>3.5</v>
      </c>
      <c r="J32" s="1255">
        <v>4.05</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39805</v>
      </c>
      <c r="D33" s="1255">
        <v>4.8600000000000003</v>
      </c>
      <c r="E33" s="1255">
        <v>5.31</v>
      </c>
      <c r="F33" s="1255">
        <v>5.4</v>
      </c>
      <c r="G33" s="1255">
        <v>5.76</v>
      </c>
      <c r="H33" s="1255">
        <v>5.94</v>
      </c>
      <c r="I33" s="1255">
        <v>3.33</v>
      </c>
      <c r="J33" s="1255">
        <v>3.87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39779</v>
      </c>
      <c r="D34" s="1255">
        <v>5.04</v>
      </c>
      <c r="E34" s="1255">
        <v>5.58</v>
      </c>
      <c r="F34" s="1255">
        <v>5.67</v>
      </c>
      <c r="G34" s="1255">
        <v>5.94</v>
      </c>
      <c r="H34" s="1255">
        <v>6.12</v>
      </c>
      <c r="I34" s="1255">
        <v>3.51</v>
      </c>
      <c r="J34" s="1255">
        <v>4.05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39751</v>
      </c>
      <c r="D35" s="1255">
        <v>6.03</v>
      </c>
      <c r="E35" s="1255">
        <v>6.66</v>
      </c>
      <c r="F35" s="1255">
        <v>6.75</v>
      </c>
      <c r="G35" s="1255">
        <v>7.02</v>
      </c>
      <c r="H35" s="1255">
        <v>7.2</v>
      </c>
      <c r="I35" s="1255">
        <v>4.05</v>
      </c>
      <c r="J35" s="1255">
        <v>4.59</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8">
        <v>39748</v>
      </c>
      <c r="D36" s="1255">
        <v>6.12</v>
      </c>
      <c r="E36" s="1255">
        <v>6.93</v>
      </c>
      <c r="F36" s="1255">
        <v>7.02</v>
      </c>
      <c r="G36" s="1255">
        <v>7.29</v>
      </c>
      <c r="H36" s="1255">
        <v>7.47</v>
      </c>
      <c r="I36" s="1255">
        <v>4.05</v>
      </c>
      <c r="J36" s="1255">
        <v>4.59</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39730</v>
      </c>
      <c r="D37" s="1255">
        <v>6.12</v>
      </c>
      <c r="E37" s="1255">
        <v>6.93</v>
      </c>
      <c r="F37" s="1255">
        <v>7.02</v>
      </c>
      <c r="G37" s="1255">
        <v>7.29</v>
      </c>
      <c r="H37" s="1255">
        <v>7.47</v>
      </c>
      <c r="I37" s="1255">
        <v>4.32</v>
      </c>
      <c r="J37" s="1255">
        <v>4.8600000000000003</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39707</v>
      </c>
      <c r="D38" s="1255">
        <v>6.21</v>
      </c>
      <c r="E38" s="1255">
        <v>7.2</v>
      </c>
      <c r="F38" s="1255">
        <v>7.29</v>
      </c>
      <c r="G38" s="1255">
        <v>7.56</v>
      </c>
      <c r="H38" s="1255">
        <v>7.74</v>
      </c>
      <c r="I38" s="1255">
        <v>4.59</v>
      </c>
      <c r="J38" s="1255">
        <v>5.13</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39437</v>
      </c>
      <c r="D39" s="1255">
        <v>6.57</v>
      </c>
      <c r="E39" s="1255">
        <v>7.47</v>
      </c>
      <c r="F39" s="1255">
        <v>7.56</v>
      </c>
      <c r="G39" s="1255">
        <v>7.74</v>
      </c>
      <c r="H39" s="1255">
        <v>7.83</v>
      </c>
      <c r="I39" s="1255">
        <v>4.7699999999999996</v>
      </c>
      <c r="J39" s="1255">
        <v>5.22</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6">
        <v>39340</v>
      </c>
      <c r="D40" s="1255">
        <v>6.48</v>
      </c>
      <c r="E40" s="1255">
        <v>7.29</v>
      </c>
      <c r="F40" s="1255">
        <v>7.47</v>
      </c>
      <c r="G40" s="1255">
        <v>7.65</v>
      </c>
      <c r="H40" s="1255">
        <v>7.83</v>
      </c>
      <c r="I40" s="1255">
        <v>4.7699999999999996</v>
      </c>
      <c r="J40" s="1255">
        <v>5.22</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39316</v>
      </c>
      <c r="D41" s="1255">
        <v>6.21</v>
      </c>
      <c r="E41" s="1255">
        <v>7.02</v>
      </c>
      <c r="F41" s="1255">
        <v>7.2</v>
      </c>
      <c r="G41" s="1255">
        <v>7.38</v>
      </c>
      <c r="H41" s="1255">
        <v>7.56</v>
      </c>
      <c r="I41" s="1255">
        <v>4.59</v>
      </c>
      <c r="J41" s="1255">
        <v>5.04</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39284</v>
      </c>
      <c r="D42" s="1255">
        <v>6.03</v>
      </c>
      <c r="E42" s="1255">
        <v>6.84</v>
      </c>
      <c r="F42" s="1255">
        <v>7.02</v>
      </c>
      <c r="G42" s="1255">
        <v>7.2</v>
      </c>
      <c r="H42" s="1255">
        <v>7.38</v>
      </c>
      <c r="I42" s="1255">
        <v>4.5</v>
      </c>
      <c r="J42" s="1255">
        <v>4.95</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1147</v>
      </c>
      <c r="Y42" s="1255" t="s">
        <v>1147</v>
      </c>
      <c r="Z42" s="1255" t="s">
        <v>1147</v>
      </c>
    </row>
    <row r="43" spans="2:26">
      <c r="B43" s="1255"/>
      <c r="C43" s="1256">
        <v>39221</v>
      </c>
      <c r="D43" s="1255">
        <v>5.85</v>
      </c>
      <c r="E43" s="1255">
        <v>6.57</v>
      </c>
      <c r="F43" s="1255">
        <v>6.75</v>
      </c>
      <c r="G43" s="1255">
        <v>6.93</v>
      </c>
      <c r="H43" s="1255">
        <v>7.2</v>
      </c>
      <c r="I43" s="1255">
        <v>4.41</v>
      </c>
      <c r="J43" s="1255">
        <v>4.8600000000000003</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1147</v>
      </c>
      <c r="Y43" s="1255" t="s">
        <v>1147</v>
      </c>
      <c r="Z43" s="1255" t="s">
        <v>1147</v>
      </c>
    </row>
    <row r="44" spans="2:26">
      <c r="B44" s="1255"/>
      <c r="C44" s="1256">
        <v>39159</v>
      </c>
      <c r="D44" s="1255">
        <v>5.67</v>
      </c>
      <c r="E44" s="1255">
        <v>6.39</v>
      </c>
      <c r="F44" s="1255">
        <v>6.57</v>
      </c>
      <c r="G44" s="1255">
        <v>6.75</v>
      </c>
      <c r="H44" s="1255">
        <v>7.11</v>
      </c>
      <c r="I44" s="1255">
        <v>4.32</v>
      </c>
      <c r="J44" s="1255">
        <v>4.7699999999999996</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1147</v>
      </c>
      <c r="Y44" s="1255" t="s">
        <v>1147</v>
      </c>
      <c r="Z44" s="1255" t="s">
        <v>1147</v>
      </c>
    </row>
    <row r="45" spans="2:26">
      <c r="B45" s="1255"/>
      <c r="C45" s="1256">
        <v>38948</v>
      </c>
      <c r="D45" s="1255">
        <v>5.58</v>
      </c>
      <c r="E45" s="1255">
        <v>6.12</v>
      </c>
      <c r="F45" s="1255">
        <v>6.3</v>
      </c>
      <c r="G45" s="1255">
        <v>6.48</v>
      </c>
      <c r="H45" s="1255">
        <v>6.84</v>
      </c>
      <c r="I45" s="1255">
        <v>4.1399999999999997</v>
      </c>
      <c r="J45" s="1255">
        <v>4.59</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1147</v>
      </c>
      <c r="Y45" s="1255" t="s">
        <v>1147</v>
      </c>
      <c r="Z45" s="1255" t="s">
        <v>1147</v>
      </c>
    </row>
    <row r="46" spans="2:26">
      <c r="B46" s="1255"/>
      <c r="C46" s="1256">
        <v>38835</v>
      </c>
      <c r="D46" s="1255">
        <v>5.4</v>
      </c>
      <c r="E46" s="1255">
        <v>5.85</v>
      </c>
      <c r="F46" s="1255">
        <v>6.03</v>
      </c>
      <c r="G46" s="1255">
        <v>6.12</v>
      </c>
      <c r="H46" s="1255">
        <v>6.39</v>
      </c>
      <c r="I46" s="1255">
        <v>4.1399999999999997</v>
      </c>
      <c r="J46" s="1255">
        <v>4.59</v>
      </c>
      <c r="L46" s="1255"/>
      <c r="M46" s="1256">
        <v>35186</v>
      </c>
      <c r="N46" s="1255">
        <v>2.97</v>
      </c>
      <c r="O46" s="1255">
        <v>4.8600000000000003</v>
      </c>
      <c r="P46" s="1255">
        <v>7.2</v>
      </c>
      <c r="Q46" s="1255">
        <v>9.18</v>
      </c>
      <c r="R46" s="1255">
        <v>9.9</v>
      </c>
      <c r="S46" s="1255">
        <v>10.8</v>
      </c>
      <c r="T46" s="1255">
        <v>12.06</v>
      </c>
      <c r="U46" s="1255">
        <v>7.2</v>
      </c>
      <c r="V46" s="1255">
        <v>9.18</v>
      </c>
      <c r="W46" s="1255">
        <v>10.8</v>
      </c>
      <c r="X46" s="1255" t="s">
        <v>1147</v>
      </c>
      <c r="Y46" s="1255" t="s">
        <v>1147</v>
      </c>
      <c r="Z46" s="1255" t="s">
        <v>1147</v>
      </c>
    </row>
    <row r="47" spans="2:26">
      <c r="B47" s="1255"/>
      <c r="C47" s="1256">
        <v>38428</v>
      </c>
      <c r="D47" s="1255">
        <v>5.22</v>
      </c>
      <c r="E47" s="1255">
        <v>5.58</v>
      </c>
      <c r="F47" s="1255">
        <v>5.76</v>
      </c>
      <c r="G47" s="1255">
        <v>5.85</v>
      </c>
      <c r="H47" s="1255">
        <v>6.12</v>
      </c>
      <c r="I47" s="1255">
        <v>3.96</v>
      </c>
      <c r="J47" s="1255">
        <v>4.41</v>
      </c>
      <c r="L47" s="1255"/>
      <c r="M47" s="1256">
        <v>34161</v>
      </c>
      <c r="N47" s="1255">
        <v>3.15</v>
      </c>
      <c r="O47" s="1255">
        <v>6.66</v>
      </c>
      <c r="P47" s="1255">
        <v>9</v>
      </c>
      <c r="Q47" s="1255">
        <v>10.98</v>
      </c>
      <c r="R47" s="1255">
        <v>11.7</v>
      </c>
      <c r="S47" s="1255">
        <v>12.24</v>
      </c>
      <c r="T47" s="1255">
        <v>13.86</v>
      </c>
      <c r="U47" s="1255">
        <v>9</v>
      </c>
      <c r="V47" s="1255">
        <v>10.98</v>
      </c>
      <c r="W47" s="1255">
        <v>12.24</v>
      </c>
      <c r="X47" s="1255" t="s">
        <v>1147</v>
      </c>
      <c r="Y47" s="1255" t="s">
        <v>1147</v>
      </c>
      <c r="Z47" s="1255" t="s">
        <v>1147</v>
      </c>
    </row>
    <row r="48" spans="2:26">
      <c r="B48" s="1255"/>
      <c r="C48" s="1256">
        <v>38289</v>
      </c>
      <c r="D48" s="1255">
        <v>5.22</v>
      </c>
      <c r="E48" s="1255">
        <v>5.58</v>
      </c>
      <c r="F48" s="1255">
        <v>5.76</v>
      </c>
      <c r="G48" s="1255">
        <v>5.85</v>
      </c>
      <c r="H48" s="1255">
        <v>6.12</v>
      </c>
      <c r="I48" s="1255">
        <v>3.78</v>
      </c>
      <c r="J48" s="1255">
        <v>4.2300000000000004</v>
      </c>
      <c r="L48" s="1255"/>
      <c r="M48" s="1256">
        <v>34104</v>
      </c>
      <c r="N48" s="1255">
        <v>2.16</v>
      </c>
      <c r="O48" s="1255">
        <v>4.8600000000000003</v>
      </c>
      <c r="P48" s="1255">
        <v>7.2</v>
      </c>
      <c r="Q48" s="1255">
        <v>9.18</v>
      </c>
      <c r="R48" s="1255">
        <v>9.9</v>
      </c>
      <c r="S48" s="1255">
        <v>10.8</v>
      </c>
      <c r="T48" s="1255">
        <v>12.06</v>
      </c>
      <c r="U48" s="1255">
        <v>7.2</v>
      </c>
      <c r="V48" s="1255">
        <v>9.18</v>
      </c>
      <c r="W48" s="1255">
        <v>10.8</v>
      </c>
      <c r="X48" s="1255" t="s">
        <v>1147</v>
      </c>
      <c r="Y48" s="1255" t="s">
        <v>1147</v>
      </c>
      <c r="Z48" s="1255" t="s">
        <v>1147</v>
      </c>
    </row>
    <row r="49" spans="2:26">
      <c r="B49" s="1255"/>
      <c r="C49" s="1256">
        <v>37308</v>
      </c>
      <c r="D49" s="1255">
        <v>5.04</v>
      </c>
      <c r="E49" s="1255">
        <v>5.31</v>
      </c>
      <c r="F49" s="1255">
        <v>5.49</v>
      </c>
      <c r="G49" s="1255">
        <v>5.58</v>
      </c>
      <c r="H49" s="1255">
        <v>5.76</v>
      </c>
      <c r="I49" s="1255">
        <v>3.6</v>
      </c>
      <c r="J49" s="1255">
        <v>4.05</v>
      </c>
      <c r="L49" s="1255"/>
      <c r="M49" s="1256">
        <v>33349</v>
      </c>
      <c r="N49" s="1255">
        <v>1.8</v>
      </c>
      <c r="O49" s="1255">
        <v>3.24</v>
      </c>
      <c r="P49" s="1255">
        <v>5.4</v>
      </c>
      <c r="Q49" s="1255">
        <v>7.56</v>
      </c>
      <c r="R49" s="1255">
        <v>7.92</v>
      </c>
      <c r="S49" s="1255">
        <v>8.2799999999999994</v>
      </c>
      <c r="T49" s="1255">
        <v>9</v>
      </c>
      <c r="U49" s="1255">
        <v>6.12</v>
      </c>
      <c r="V49" s="1255">
        <v>6.84</v>
      </c>
      <c r="W49" s="1255">
        <v>7.56</v>
      </c>
      <c r="X49" s="1255" t="s">
        <v>1147</v>
      </c>
      <c r="Y49" s="1255" t="s">
        <v>1147</v>
      </c>
      <c r="Z49" s="1255" t="s">
        <v>1147</v>
      </c>
    </row>
    <row r="50" spans="2:26">
      <c r="B50" s="1255"/>
      <c r="C50" s="1256">
        <v>36321</v>
      </c>
      <c r="D50" s="1255">
        <v>5.58</v>
      </c>
      <c r="E50" s="1255">
        <v>5.85</v>
      </c>
      <c r="F50" s="1255">
        <v>5.94</v>
      </c>
      <c r="G50" s="1255">
        <v>6.03</v>
      </c>
      <c r="H50" s="1255">
        <v>6.21</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1147</v>
      </c>
      <c r="Y50" s="1255" t="s">
        <v>1147</v>
      </c>
      <c r="Z50" s="1255" t="s">
        <v>1147</v>
      </c>
    </row>
    <row r="51" spans="2:26">
      <c r="B51" s="1255"/>
      <c r="C51" s="1256">
        <v>36136</v>
      </c>
      <c r="D51" s="1255">
        <v>6.12</v>
      </c>
      <c r="E51" s="1255">
        <v>6.39</v>
      </c>
      <c r="F51" s="1255">
        <v>6.66</v>
      </c>
      <c r="G51" s="1255">
        <v>7.2</v>
      </c>
      <c r="H51" s="1255">
        <v>7.56</v>
      </c>
      <c r="I51" s="1255">
        <v>0</v>
      </c>
      <c r="J51" s="1255">
        <v>0</v>
      </c>
      <c r="L51" s="1255"/>
      <c r="M51" s="1256">
        <v>32978</v>
      </c>
      <c r="N51" s="1255">
        <v>2.88</v>
      </c>
      <c r="O51" s="1255">
        <v>6.3</v>
      </c>
      <c r="P51" s="1255">
        <v>7.74</v>
      </c>
      <c r="Q51" s="1255">
        <v>10.08</v>
      </c>
      <c r="R51" s="1255">
        <v>10.98</v>
      </c>
      <c r="S51" s="1255">
        <v>11.88</v>
      </c>
      <c r="T51" s="1255">
        <v>13.68</v>
      </c>
      <c r="U51" s="1255" t="s">
        <v>1147</v>
      </c>
      <c r="V51" s="1255" t="s">
        <v>1147</v>
      </c>
      <c r="W51" s="1255" t="s">
        <v>1147</v>
      </c>
      <c r="X51" s="1255" t="s">
        <v>1147</v>
      </c>
      <c r="Y51" s="1255" t="s">
        <v>1147</v>
      </c>
      <c r="Z51" s="1255" t="s">
        <v>1147</v>
      </c>
    </row>
    <row r="52" spans="2:26">
      <c r="B52" s="1255"/>
      <c r="C52" s="1256">
        <v>35977</v>
      </c>
      <c r="D52" s="1255">
        <v>6.57</v>
      </c>
      <c r="E52" s="1255">
        <v>6.93</v>
      </c>
      <c r="F52" s="1255">
        <v>7.11</v>
      </c>
      <c r="G52" s="1255">
        <v>7.65</v>
      </c>
      <c r="H52" s="1255">
        <v>8.01</v>
      </c>
      <c r="I52" s="1255">
        <v>0</v>
      </c>
      <c r="J52" s="1255">
        <v>0</v>
      </c>
      <c r="L52" s="1255"/>
      <c r="M52" s="1256"/>
      <c r="N52" s="1255"/>
      <c r="O52" s="1255"/>
      <c r="P52" s="1255"/>
      <c r="Q52" s="1255"/>
      <c r="R52" s="1255"/>
      <c r="S52" s="1255"/>
      <c r="T52" s="1255"/>
      <c r="U52" s="1255"/>
      <c r="V52" s="1255"/>
      <c r="W52" s="1255"/>
      <c r="X52" s="1255"/>
      <c r="Y52" s="1255"/>
      <c r="Z52" s="1255"/>
    </row>
    <row r="53" spans="2:26">
      <c r="B53" s="1255"/>
      <c r="C53" s="1256">
        <v>35879</v>
      </c>
      <c r="D53" s="1255">
        <v>7.02</v>
      </c>
      <c r="E53" s="1255">
        <v>7.92</v>
      </c>
      <c r="F53" s="1255">
        <v>9</v>
      </c>
      <c r="G53" s="1255">
        <v>9.7200000000000006</v>
      </c>
      <c r="H53" s="1255">
        <v>10.35</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35726</v>
      </c>
      <c r="D54" s="1255">
        <v>7.65</v>
      </c>
      <c r="E54" s="1255">
        <v>8.64</v>
      </c>
      <c r="F54" s="1255">
        <v>9.36</v>
      </c>
      <c r="G54" s="1255">
        <v>9.9</v>
      </c>
      <c r="H54" s="1255">
        <v>10.53</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35300</v>
      </c>
      <c r="D55" s="1255">
        <v>9.18</v>
      </c>
      <c r="E55" s="1255">
        <v>10.08</v>
      </c>
      <c r="F55" s="1255">
        <v>10.98</v>
      </c>
      <c r="G55" s="1255">
        <v>11.7</v>
      </c>
      <c r="H55" s="1255">
        <v>12.42</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35186</v>
      </c>
      <c r="D56" s="1255">
        <v>9.7200000000000006</v>
      </c>
      <c r="E56" s="1255">
        <v>10.98</v>
      </c>
      <c r="F56" s="1255">
        <v>13.14</v>
      </c>
      <c r="G56" s="1255">
        <v>14.94</v>
      </c>
      <c r="H56" s="1255">
        <v>15.12</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34881</v>
      </c>
      <c r="D57" s="1255">
        <v>10.08</v>
      </c>
      <c r="E57" s="1255">
        <v>12.06</v>
      </c>
      <c r="F57" s="1255">
        <v>13.5</v>
      </c>
      <c r="G57" s="1255">
        <v>15.12</v>
      </c>
      <c r="H57" s="1255">
        <v>15.3</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34700</v>
      </c>
      <c r="D58" s="1255">
        <v>9</v>
      </c>
      <c r="E58" s="1255">
        <v>10.98</v>
      </c>
      <c r="F58" s="1255">
        <v>12.96</v>
      </c>
      <c r="G58" s="1255">
        <v>14.58</v>
      </c>
      <c r="H58" s="1255">
        <v>14.76</v>
      </c>
      <c r="I58" s="1255">
        <v>0</v>
      </c>
      <c r="J58" s="1255">
        <v>0</v>
      </c>
    </row>
    <row r="59" spans="2:26">
      <c r="B59" s="1255"/>
      <c r="C59" s="1256">
        <v>34161</v>
      </c>
      <c r="D59" s="1255">
        <v>9</v>
      </c>
      <c r="E59" s="1255">
        <v>10.98</v>
      </c>
      <c r="F59" s="1255">
        <v>12.24</v>
      </c>
      <c r="G59" s="1255">
        <v>13.86</v>
      </c>
      <c r="H59" s="1255">
        <v>14.04</v>
      </c>
      <c r="I59" s="1255">
        <v>0</v>
      </c>
      <c r="J59" s="1255">
        <v>0</v>
      </c>
    </row>
    <row r="60" spans="2:26">
      <c r="B60" s="1255"/>
      <c r="C60" s="1256">
        <v>34104</v>
      </c>
      <c r="D60" s="1255">
        <v>8.82</v>
      </c>
      <c r="E60" s="1255">
        <v>9.36</v>
      </c>
      <c r="F60" s="1255">
        <v>10.8</v>
      </c>
      <c r="G60" s="1255">
        <v>12.06</v>
      </c>
      <c r="H60" s="1255">
        <v>12.24</v>
      </c>
      <c r="I60" s="1255">
        <v>0</v>
      </c>
      <c r="J60" s="1255">
        <v>0</v>
      </c>
    </row>
    <row r="61" spans="2:26">
      <c r="B61" s="1255"/>
      <c r="C61" s="1256">
        <v>33349</v>
      </c>
      <c r="D61" s="1255">
        <v>8.1</v>
      </c>
      <c r="E61" s="1255">
        <v>8.64</v>
      </c>
      <c r="F61" s="1255">
        <v>9</v>
      </c>
      <c r="G61" s="1255">
        <v>9.5399999999999991</v>
      </c>
      <c r="H61" s="1255">
        <v>9.7200000000000006</v>
      </c>
      <c r="I61" s="1255">
        <v>0</v>
      </c>
      <c r="J61" s="1255">
        <v>0</v>
      </c>
    </row>
    <row r="62" spans="2:26">
      <c r="B62" s="1255"/>
      <c r="C62" s="1256">
        <v>33318</v>
      </c>
      <c r="D62" s="1255">
        <v>9</v>
      </c>
      <c r="E62" s="1255">
        <v>10.08</v>
      </c>
      <c r="F62" s="1255">
        <v>10.8</v>
      </c>
      <c r="G62" s="1255">
        <v>11.52</v>
      </c>
      <c r="H62" s="1255">
        <v>11.88</v>
      </c>
      <c r="I62" s="1255" t="s">
        <v>1147</v>
      </c>
      <c r="J62" s="1255" t="s">
        <v>1147</v>
      </c>
    </row>
    <row r="63" spans="2:26">
      <c r="B63" s="1255"/>
      <c r="C63" s="1256">
        <v>33106</v>
      </c>
      <c r="D63" s="1255">
        <v>8.64</v>
      </c>
      <c r="E63" s="1255">
        <v>9.36</v>
      </c>
      <c r="F63" s="1255">
        <v>10.08</v>
      </c>
      <c r="G63" s="1255">
        <v>10.8</v>
      </c>
      <c r="H63" s="1255">
        <v>11.16</v>
      </c>
      <c r="I63" s="1255">
        <v>0</v>
      </c>
      <c r="J63" s="1255">
        <v>0</v>
      </c>
    </row>
    <row r="64" spans="2:26">
      <c r="B64" s="1255"/>
      <c r="C64" s="1256">
        <v>32540</v>
      </c>
      <c r="D64" s="1255">
        <v>11.34</v>
      </c>
      <c r="E64" s="1255">
        <v>11.34</v>
      </c>
      <c r="F64" s="1255">
        <v>12.78</v>
      </c>
      <c r="G64" s="1255">
        <v>14.4</v>
      </c>
      <c r="H64" s="1255">
        <v>19.260000000000002</v>
      </c>
      <c r="I64" s="1255">
        <v>0</v>
      </c>
      <c r="J64" s="1255">
        <v>0</v>
      </c>
    </row>
    <row r="65" spans="2:10">
      <c r="B65" s="1255"/>
      <c r="C65" s="1256"/>
      <c r="D65" s="1255"/>
      <c r="E65" s="1255"/>
      <c r="F65" s="1255"/>
      <c r="G65" s="1255"/>
      <c r="H65" s="1255"/>
      <c r="I65" s="1255"/>
      <c r="J65" s="1255"/>
    </row>
    <row r="66" spans="2:10">
      <c r="B66" s="1259"/>
      <c r="C66" s="1260"/>
      <c r="D66" s="1259"/>
      <c r="E66" s="1259"/>
      <c r="F66" s="1259"/>
      <c r="G66" s="1259"/>
      <c r="H66" s="1259"/>
      <c r="I66" s="1259"/>
      <c r="J66" s="1259"/>
    </row>
    <row r="67" spans="2:10">
      <c r="B67" s="1259"/>
      <c r="C67" s="1260"/>
      <c r="D67" s="1259"/>
      <c r="E67" s="1259"/>
      <c r="F67" s="1259"/>
      <c r="G67" s="1259"/>
      <c r="H67" s="1259"/>
      <c r="I67" s="1259"/>
      <c r="J67" s="1259"/>
    </row>
    <row r="68" spans="2:10">
      <c r="B68" s="1259"/>
      <c r="C68" s="1260"/>
      <c r="D68" s="1259"/>
      <c r="E68" s="1259"/>
      <c r="F68" s="1259"/>
      <c r="G68" s="1259"/>
      <c r="H68" s="1259"/>
      <c r="I68" s="1259"/>
      <c r="J68" s="1259"/>
    </row>
    <row r="69" spans="2:10">
      <c r="B69" s="1206"/>
      <c r="C69" s="1206"/>
      <c r="D69" s="1206"/>
      <c r="E69" s="1206"/>
      <c r="F69" s="1206"/>
      <c r="G69" s="1206"/>
      <c r="H69" s="1206"/>
      <c r="I69" s="1206"/>
      <c r="J69" s="1206"/>
    </row>
    <row r="70" spans="2:10">
      <c r="B70" s="1206"/>
      <c r="C70" s="1206"/>
      <c r="D70" s="1206"/>
      <c r="E70" s="1206"/>
      <c r="F70" s="1206"/>
      <c r="G70" s="1206"/>
      <c r="H70" s="1206"/>
      <c r="I70" s="1206"/>
      <c r="J70"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4" sqref="K1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330"/>
      <c r="B3" s="1330"/>
      <c r="C3" s="1330"/>
      <c r="D3" s="1330"/>
      <c r="E3" s="1330"/>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327"/>
      <c r="B5" s="1331" t="s">
        <v>742</v>
      </c>
      <c r="C5" s="3340" t="s">
        <v>775</v>
      </c>
      <c r="D5" s="3341"/>
      <c r="E5" s="1327"/>
    </row>
    <row r="6" spans="1:5" ht="14.25">
      <c r="A6" s="1327"/>
      <c r="B6" s="1332" t="str">
        <f>项目基本情况!I1</f>
        <v>北京市房地产</v>
      </c>
      <c r="C6" s="3342">
        <f>项目基本情况!C12</f>
        <v>259.41000000000003</v>
      </c>
      <c r="D6" s="3342"/>
      <c r="E6" s="1327"/>
    </row>
    <row r="7" spans="1:5" ht="14.25">
      <c r="A7" s="1327"/>
      <c r="B7" s="3336" t="s">
        <v>776</v>
      </c>
      <c r="C7" s="1333" t="str">
        <f>IF('数据-取费表'!B3="万元","总价（万元）","总价（元）")</f>
        <v>总价（元）</v>
      </c>
      <c r="D7" s="1334">
        <f ca="1">IF('数据-取费表'!E3="否",结果表!I102,'结果表 (1修多)'!I104)</f>
        <v>15562394</v>
      </c>
      <c r="E7" s="1327"/>
    </row>
    <row r="8" spans="1:5" ht="28.5">
      <c r="A8" s="1327"/>
      <c r="B8" s="3336"/>
      <c r="C8" s="1335" t="s">
        <v>1106</v>
      </c>
      <c r="D8" s="1336" t="str">
        <f ca="1">IF('数据-取费表'!B3="万元",NUMBERSTRING(INT(D7*10000),2)&amp;"元整",NUMBERSTRING(INT(D7),2)&amp;"元整")</f>
        <v>壹仟伍佰伍拾陆万贰仟叁佰玖拾肆元整</v>
      </c>
      <c r="E8" s="1327"/>
    </row>
    <row r="9" spans="1:5" ht="14.25">
      <c r="A9" s="1327"/>
      <c r="B9" s="3336"/>
      <c r="C9" s="1337" t="s">
        <v>1203</v>
      </c>
      <c r="D9" s="1334">
        <f ca="1">IF('数据-取费表'!E3="否",结果表!I103,'结果表 (1修多)'!I105)</f>
        <v>340750016</v>
      </c>
      <c r="E9" s="1327"/>
    </row>
    <row r="10" spans="1:5" ht="14.25">
      <c r="A10" s="1327"/>
      <c r="B10" s="3343" t="str">
        <f>IF('数据-取费表'!E3="否",结果表!F105,'结果表 (1修多)'!F107)</f>
        <v>2.估价师所知悉的法定优先受偿款</v>
      </c>
      <c r="C10" s="1338" t="str">
        <f>IF('数据-取费表'!B3="万元","总额（万元）","总额（元）")</f>
        <v>总额（元）</v>
      </c>
      <c r="D10" s="1334">
        <f>IF('数据-取费表'!E3="否",结果表!I105,'结果表 (1修多)'!I107)</f>
        <v>0</v>
      </c>
      <c r="E10" s="1327"/>
    </row>
    <row r="11" spans="1:5" ht="14.25">
      <c r="A11" s="1327"/>
      <c r="B11" s="3343"/>
      <c r="C11" s="1335" t="s">
        <v>1106</v>
      </c>
      <c r="D11" s="1336" t="str">
        <f>IF('数据-取费表'!B3="万元",NUMBERSTRING(INT(D10*10000),2)&amp;"元整",NUMBERSTRING(INT(D10),2)&amp;"元整")</f>
        <v>零元整</v>
      </c>
      <c r="E11" s="1327"/>
    </row>
    <row r="12" spans="1:5" ht="14.25">
      <c r="A12" s="1327"/>
      <c r="B12" s="1339" t="s">
        <v>743</v>
      </c>
      <c r="C12" s="1340" t="str">
        <f>C10</f>
        <v>总额（元）</v>
      </c>
      <c r="D12" s="1341">
        <f>IF('数据-取费表'!E3="否",结果表!I106,'结果表 (1修多)'!I108)</f>
        <v>0</v>
      </c>
      <c r="E12" s="1327"/>
    </row>
    <row r="13" spans="1:5" ht="14.25">
      <c r="A13" s="1327"/>
      <c r="B13" s="1339" t="s">
        <v>744</v>
      </c>
      <c r="C13" s="1340" t="str">
        <f>C10</f>
        <v>总额（元）</v>
      </c>
      <c r="D13" s="1341">
        <f>IF('数据-取费表'!E3="否",结果表!I107,'结果表 (1修多)'!I109)</f>
        <v>0</v>
      </c>
      <c r="E13" s="1327"/>
    </row>
    <row r="14" spans="1:5" ht="14.25">
      <c r="A14" s="1327"/>
      <c r="B14" s="1339" t="s">
        <v>745</v>
      </c>
      <c r="C14" s="1340" t="str">
        <f>C10</f>
        <v>总额（元）</v>
      </c>
      <c r="D14" s="1341">
        <f>IF('数据-取费表'!E3="否",结果表!I108,'结果表 (1修多)'!I110)</f>
        <v>0</v>
      </c>
      <c r="E14" s="1327"/>
    </row>
    <row r="15" spans="1:5" ht="14.25">
      <c r="A15" s="1327"/>
      <c r="B15" s="3343" t="str">
        <f>IF('数据-取费表'!E3="否",结果表!F110,'结果表 (1修多)'!F112)</f>
        <v>3.房地产抵押价值</v>
      </c>
      <c r="C15" s="1328" t="str">
        <f>C7</f>
        <v>总价（元）</v>
      </c>
      <c r="D15" s="1334">
        <f ca="1">IF('数据-取费表'!E3="否",结果表!I110,'结果表 (1修多)'!I112)</f>
        <v>15562394</v>
      </c>
      <c r="E15" s="1327"/>
    </row>
    <row r="16" spans="1:5" ht="28.5">
      <c r="A16" s="1327"/>
      <c r="B16" s="3343"/>
      <c r="C16" s="1335" t="s">
        <v>1106</v>
      </c>
      <c r="D16" s="1334" t="str">
        <f ca="1">IF('数据-取费表'!B3="万元",NUMBERSTRING(INT(D15*10000),2)&amp;"元整",NUMBERSTRING(INT(D15),2)&amp;"元整")</f>
        <v>壹仟伍佰伍拾陆万贰仟叁佰玖拾肆元整</v>
      </c>
      <c r="E16" s="1327"/>
    </row>
    <row r="17" spans="1:5" ht="14.25">
      <c r="A17" s="1327"/>
      <c r="B17" s="3343"/>
      <c r="C17" s="1337" t="s">
        <v>1203</v>
      </c>
      <c r="D17" s="1334">
        <f ca="1">IF('数据-取费表'!E3="否",结果表!I111,'结果表 (1修多)'!I113)</f>
        <v>340750016</v>
      </c>
      <c r="E17" s="1327"/>
    </row>
    <row r="18" spans="1:5" ht="14.25">
      <c r="A18" s="1327"/>
      <c r="B18" s="3343" t="str">
        <f>IF('数据-取费表'!E3="否",结果表!F112,'结果表 (1修多)'!F114)</f>
        <v>——</v>
      </c>
      <c r="C18" s="1328" t="str">
        <f>C7</f>
        <v>总价（元）</v>
      </c>
      <c r="D18" s="1334" t="str">
        <f>IF('数据-取费表'!E3="否",结果表!I112,'结果表 (1修多)'!I114)</f>
        <v>——</v>
      </c>
      <c r="E18" s="1327"/>
    </row>
    <row r="19" spans="1:5" ht="14.25">
      <c r="A19" s="1327"/>
      <c r="B19" s="3343"/>
      <c r="C19" s="1335" t="s">
        <v>1106</v>
      </c>
      <c r="D19" s="1334" t="e">
        <f>IF('数据-取费表'!B3="万元",NUMBERSTRING(INT(D18*10000),2)&amp;"元整",NUMBERSTRING(INT(D18),2)&amp;"元整")</f>
        <v>#VALUE!</v>
      </c>
      <c r="E19" s="1327"/>
    </row>
    <row r="20" spans="1:5" ht="14.25">
      <c r="A20" s="1327"/>
      <c r="B20" s="3343"/>
      <c r="C20" s="1337" t="s">
        <v>1203</v>
      </c>
      <c r="D20" s="1334" t="str">
        <f>IF('数据-取费表'!E3="否",结果表!I113,'结果表 (1修多)'!I115)</f>
        <v>——</v>
      </c>
      <c r="E20" s="1327"/>
    </row>
    <row r="21" spans="1:5" ht="14.25">
      <c r="A21" s="1327"/>
      <c r="B21" s="3336" t="str">
        <f>IF('数据-取费表'!E3="否",结果表!F114,'结果表 (1修多)'!F116)</f>
        <v>——</v>
      </c>
      <c r="C21" s="1333" t="str">
        <f>C7</f>
        <v>总价（元）</v>
      </c>
      <c r="D21" s="1334" t="str">
        <f>IF('数据-取费表'!E3="否",结果表!I114,'结果表 (1修多)'!I116)</f>
        <v>——</v>
      </c>
      <c r="E21" s="1327"/>
    </row>
    <row r="22" spans="1:5" ht="14.25">
      <c r="A22" s="1327"/>
      <c r="B22" s="3336"/>
      <c r="C22" s="1335" t="s">
        <v>1106</v>
      </c>
      <c r="D22" s="1336" t="e">
        <f>IF('数据-取费表'!B3="万元",NUMBERSTRING(INT(D21*10000),2)&amp;"元整",NUMBERSTRING(INT(D21),2)&amp;"元整")</f>
        <v>#VALUE!</v>
      </c>
      <c r="E22" s="1327"/>
    </row>
    <row r="23" spans="1:5" ht="15" thickBot="1">
      <c r="A23" s="1327"/>
      <c r="B23" s="3337"/>
      <c r="C23" s="1342" t="s">
        <v>1203</v>
      </c>
      <c r="D23" s="1343" t="str">
        <f ca="1">IF('数据-取费表'!E3="否",结果表!I115,'结果表 (1修多)'!I117)</f>
        <v>——</v>
      </c>
      <c r="E23" s="1327"/>
    </row>
    <row r="24" spans="1:5" ht="14.25" thickTop="1">
      <c r="A24" s="1327"/>
      <c r="B24" s="1327"/>
      <c r="C24" s="1327"/>
      <c r="D24" s="1327"/>
      <c r="E24" s="1327"/>
    </row>
    <row r="25" spans="1:5" ht="18.75" customHeight="1" thickBot="1">
      <c r="A25" s="1327"/>
      <c r="B25" s="3328" t="s">
        <v>1204</v>
      </c>
      <c r="C25" s="3328"/>
      <c r="D25" s="3328"/>
      <c r="E25" s="1327"/>
    </row>
    <row r="26" spans="1:5" ht="18.75" customHeight="1" thickTop="1">
      <c r="A26" s="1327"/>
      <c r="B26" s="3331" t="s">
        <v>1105</v>
      </c>
      <c r="C26" s="3332"/>
      <c r="D26" s="3329" t="s">
        <v>1104</v>
      </c>
      <c r="E26" s="1327"/>
    </row>
    <row r="27" spans="1:5" ht="18.75" customHeight="1">
      <c r="A27" s="1327"/>
      <c r="B27" s="3333"/>
      <c r="C27" s="3334"/>
      <c r="D27" s="3330"/>
      <c r="E27" s="1327"/>
    </row>
    <row r="28" spans="1:5" ht="14.25">
      <c r="A28" s="1327"/>
      <c r="B28" s="3321" t="s">
        <v>776</v>
      </c>
      <c r="C28" s="1344" t="s">
        <v>1107</v>
      </c>
      <c r="D28" s="1345">
        <f ca="1">IF('数据-取费表'!E3="否",结果表!I102,'结果表 (1修多)'!I104)</f>
        <v>15562394</v>
      </c>
      <c r="E28" s="1327"/>
    </row>
    <row r="29" spans="1:5" ht="28.5">
      <c r="A29" s="1327"/>
      <c r="B29" s="3322"/>
      <c r="C29" s="1346" t="s">
        <v>1106</v>
      </c>
      <c r="D29" s="1347" t="str">
        <f ca="1">IF('数据-取费表'!B3="万元",NUMBERSTRING(INT(D28*10000),2)&amp;"元整",NUMBERSTRING(INT(D28),2)&amp;"元整")</f>
        <v>壹仟伍佰伍拾陆万贰仟叁佰玖拾肆元整</v>
      </c>
      <c r="E29" s="1327"/>
    </row>
    <row r="30" spans="1:5" ht="14.25">
      <c r="A30" s="1327"/>
      <c r="B30" s="3323"/>
      <c r="C30" s="1337" t="s">
        <v>1109</v>
      </c>
      <c r="D30" s="1348">
        <f ca="1">IF('数据-取费表'!E3="否",结果表!I103,'结果表 (1修多)'!I105)</f>
        <v>340750016</v>
      </c>
      <c r="E30" s="1327"/>
    </row>
    <row r="31" spans="1:5" ht="14.25">
      <c r="A31" s="1327"/>
      <c r="B31" s="3326" t="str">
        <f>B10</f>
        <v>2.估价师所知悉的法定优先受偿款</v>
      </c>
      <c r="C31" s="1349" t="s">
        <v>1108</v>
      </c>
      <c r="D31" s="1350">
        <f>IF('数据-取费表'!E3="否",结果表!I105,'结果表 (1修多)'!I107)</f>
        <v>0</v>
      </c>
      <c r="E31" s="1327"/>
    </row>
    <row r="32" spans="1:5" ht="14.25">
      <c r="A32" s="1327"/>
      <c r="B32" s="3335"/>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24" t="str">
        <f>B15</f>
        <v>3.房地产抵押价值</v>
      </c>
      <c r="C36" s="1349" t="str">
        <f>C28</f>
        <v>总价</v>
      </c>
      <c r="D36" s="1350">
        <f ca="1">IF('数据-取费表'!E3="否",结果表!I110,'结果表 (1修多)'!I112)</f>
        <v>15562394</v>
      </c>
      <c r="E36" s="1327"/>
    </row>
    <row r="37" spans="1:5" ht="28.5">
      <c r="A37" s="1327"/>
      <c r="B37" s="3324"/>
      <c r="C37" s="1346" t="s">
        <v>1106</v>
      </c>
      <c r="D37" s="1351" t="str">
        <f ca="1">IF('数据-取费表'!B3="万元",NUMBERSTRING(INT(D36*10000),2)&amp;"元整",NUMBERSTRING(INT(D36),2)&amp;"元整")</f>
        <v>壹仟伍佰伍拾陆万贰仟叁佰玖拾肆元整</v>
      </c>
      <c r="E37" s="1327"/>
    </row>
    <row r="38" spans="1:5" ht="14.25">
      <c r="A38" s="1327"/>
      <c r="B38" s="3324"/>
      <c r="C38" s="1337" t="s">
        <v>1110</v>
      </c>
      <c r="D38" s="1348">
        <f ca="1">IF('数据-取费表'!E3="否",结果表!D113,'结果表 (1修多)'!D117)</f>
        <v>340750016</v>
      </c>
      <c r="E38" s="1327"/>
    </row>
    <row r="39" spans="1:5" ht="14.25">
      <c r="A39" s="1327"/>
      <c r="B39" s="3325" t="str">
        <f>B18</f>
        <v>——</v>
      </c>
      <c r="C39" s="1349" t="str">
        <f>C28</f>
        <v>总价</v>
      </c>
      <c r="D39" s="1350" t="str">
        <f>IF('数据-取费表'!E3="否",结果表!I112,'结果表 (1修多)'!I114)</f>
        <v>——</v>
      </c>
      <c r="E39" s="1327"/>
    </row>
    <row r="40" spans="1:5" ht="14.25">
      <c r="A40" s="1327"/>
      <c r="B40" s="3325"/>
      <c r="C40" s="1346" t="s">
        <v>1106</v>
      </c>
      <c r="D40" s="1351" t="e">
        <f>IF('数据-取费表'!B3="万元",NUMBERSTRING(INT(D39*10000),2)&amp;"元整",NUMBERSTRING(INT(D39),2)&amp;"元整")</f>
        <v>#VALUE!</v>
      </c>
      <c r="E40" s="1327"/>
    </row>
    <row r="41" spans="1:5" ht="14.25">
      <c r="A41" s="1327"/>
      <c r="B41" s="3325"/>
      <c r="C41" s="1337" t="s">
        <v>1110</v>
      </c>
      <c r="D41" s="1348" t="str">
        <f>IF('数据-取费表'!E3="否",结果表!D115,'结果表 (1修多)'!D119)</f>
        <v>——</v>
      </c>
      <c r="E41" s="1327"/>
    </row>
    <row r="42" spans="1:5" ht="14.25">
      <c r="A42" s="1327"/>
      <c r="B42" s="3324" t="str">
        <f>B21</f>
        <v>——</v>
      </c>
      <c r="C42" s="1349" t="str">
        <f>C28</f>
        <v>总价</v>
      </c>
      <c r="D42" s="1350" t="str">
        <f>IF('数据-取费表'!E3="否",结果表!I114,'结果表 (1修多)'!I116)</f>
        <v>——</v>
      </c>
      <c r="E42" s="1327"/>
    </row>
    <row r="43" spans="1:5" ht="14.25">
      <c r="A43" s="1327"/>
      <c r="B43" s="3326"/>
      <c r="C43" s="1346" t="s">
        <v>1106</v>
      </c>
      <c r="D43" s="1352" t="e">
        <f>IF('数据-取费表'!B3="万元",NUMBERSTRING(INT(D42*10000),2)&amp;"元整",NUMBERSTRING(INT(D42),2)&amp;"元整")</f>
        <v>#VALUE!</v>
      </c>
      <c r="E43" s="1327"/>
    </row>
    <row r="44" spans="1:5" ht="15" thickBot="1">
      <c r="A44" s="1327"/>
      <c r="B44" s="3327"/>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1205</v>
      </c>
      <c r="B2" s="3351" t="s">
        <v>1206</v>
      </c>
      <c r="C2" s="3351" t="s">
        <v>1207</v>
      </c>
      <c r="D2" s="3351" t="str">
        <f>IF('数据-取费表'!E3="否",结果表!D119,'结果表 (1修多)'!D123)</f>
        <v>出让国有建设用地使用权价值</v>
      </c>
      <c r="E2" s="3351"/>
      <c r="F2" s="3351" t="s">
        <v>1208</v>
      </c>
      <c r="G2" s="3351"/>
      <c r="H2" s="3351" t="s">
        <v>1209</v>
      </c>
      <c r="I2" s="3351"/>
    </row>
    <row r="3" spans="1:9" ht="15">
      <c r="A3" s="3344"/>
      <c r="B3" s="3344"/>
      <c r="C3" s="3344"/>
      <c r="D3" s="818" t="s">
        <v>1210</v>
      </c>
      <c r="E3" s="818" t="s">
        <v>1211</v>
      </c>
      <c r="F3" s="818" t="s">
        <v>1210</v>
      </c>
      <c r="G3" s="818" t="s">
        <v>1212</v>
      </c>
      <c r="H3" s="818" t="s">
        <v>1210</v>
      </c>
      <c r="I3" s="818" t="s">
        <v>1212</v>
      </c>
    </row>
    <row r="4" spans="1:9" ht="46.5" customHeight="1">
      <c r="A4" s="818" t="str">
        <f>项目基本情况!I1</f>
        <v>北京市房地产</v>
      </c>
      <c r="B4" s="818">
        <f>结果表!B121</f>
        <v>259.41000000000003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15562394</v>
      </c>
      <c r="I4" s="818">
        <f ca="1">IF('数据-取费表'!E3="否",结果表!I121,'结果表 (1修多)'!I125)</f>
        <v>340750016</v>
      </c>
    </row>
    <row r="5" spans="1:9" ht="15">
      <c r="A5" s="3344" t="s">
        <v>1213</v>
      </c>
      <c r="B5" s="3344"/>
      <c r="C5" s="3344"/>
      <c r="D5" s="3345" t="str">
        <f>IF('数据-取费表'!E3="否",结果表!D122,'结果表 (1修多)'!D126)</f>
        <v>零元整</v>
      </c>
      <c r="E5" s="3345"/>
      <c r="F5" s="3345" t="str">
        <f>IF('数据-取费表'!E3="否",结果表!F122,'结果表 (1修多)'!F126)</f>
        <v>零元整</v>
      </c>
      <c r="G5" s="3345"/>
      <c r="H5" s="3345" t="str">
        <f ca="1">IF('数据-取费表'!E3="否",结果表!H122,'结果表 (1修多)'!H126)</f>
        <v>壹仟伍佰伍拾陆万贰仟叁佰玖拾肆元整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1213</v>
      </c>
      <c r="B7" s="3344"/>
      <c r="C7" s="3344"/>
      <c r="D7" s="3352">
        <f>IF('数据-取费表'!E3="否",结果表!D124,'结果表 (1修多)'!D128)</f>
        <v>0</v>
      </c>
      <c r="E7" s="3353"/>
      <c r="F7" s="3353"/>
      <c r="G7" s="3353"/>
      <c r="H7" s="3353"/>
      <c r="I7" s="3354"/>
    </row>
    <row r="8" spans="1:9" ht="15.75">
      <c r="A8" s="3346" t="str">
        <f>IF('数据-取费表'!E3="否",结果表!A125,'结果表 (1修多)'!A129)</f>
        <v>房地产抵押价值</v>
      </c>
      <c r="B8" s="3346"/>
      <c r="C8" s="3346"/>
      <c r="D8" s="3346">
        <f ca="1">IF('数据-取费表'!E3="否",结果表!D125,'结果表 (1修多)'!D129)</f>
        <v>15562394</v>
      </c>
      <c r="E8" s="3346"/>
      <c r="F8" s="3346"/>
      <c r="G8" s="3346"/>
      <c r="H8" s="3346"/>
      <c r="I8" s="3346"/>
    </row>
    <row r="9" spans="1:9" ht="15">
      <c r="A9" s="3344" t="s">
        <v>1213</v>
      </c>
      <c r="B9" s="3344"/>
      <c r="C9" s="3344"/>
      <c r="D9" s="3345">
        <f ca="1">IF('数据-取费表'!E3="否",结果表!D126,'结果表 (1修多)'!D130)</f>
        <v>340750016</v>
      </c>
      <c r="E9" s="3345"/>
      <c r="F9" s="3345"/>
      <c r="G9" s="3345"/>
      <c r="H9" s="3345"/>
      <c r="I9" s="3345"/>
    </row>
    <row r="10" spans="1:9" ht="15.75">
      <c r="A10" s="3346" t="str">
        <f>IF('数据-取费表'!E3="否",结果表!A127,'结果表 (1修多)'!A131)</f>
        <v/>
      </c>
      <c r="B10" s="3346"/>
      <c r="C10" s="3346"/>
      <c r="D10" s="3346">
        <f ca="1">IF('数据-取费表'!E3="否",结果表!D127,'结果表 (1修多)'!D130)</f>
        <v>340750016</v>
      </c>
      <c r="E10" s="3346"/>
      <c r="F10" s="3346"/>
      <c r="G10" s="3346"/>
      <c r="H10" s="3346"/>
      <c r="I10" s="3346"/>
    </row>
    <row r="11" spans="1:9" ht="15">
      <c r="A11" s="3344" t="s">
        <v>1213</v>
      </c>
      <c r="B11" s="3344"/>
      <c r="C11" s="3344"/>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5"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56" t="s">
        <v>1226</v>
      </c>
      <c r="B1" s="3356"/>
      <c r="C1" s="3356"/>
      <c r="D1" s="3356"/>
    </row>
    <row r="2" spans="1:4" ht="18">
      <c r="A2" s="3355" t="s">
        <v>1215</v>
      </c>
      <c r="B2" s="3355"/>
      <c r="C2" s="3355"/>
      <c r="D2" s="3355"/>
    </row>
    <row r="3" spans="1:4" ht="18.75">
      <c r="A3" s="1356" t="s">
        <v>1216</v>
      </c>
      <c r="B3" s="1356" t="s">
        <v>1217</v>
      </c>
      <c r="C3" s="1356" t="s">
        <v>1218</v>
      </c>
      <c r="D3" s="1356" t="s">
        <v>1219</v>
      </c>
    </row>
    <row r="4" spans="1:4" ht="56.25" customHeight="1">
      <c r="A4" s="1357" t="str">
        <f>项目基本情况!B3</f>
        <v>崔锴</v>
      </c>
      <c r="B4" s="1358">
        <f ca="1">项目基本情况!C3</f>
        <v>1120100036</v>
      </c>
      <c r="C4" s="1359"/>
      <c r="D4" s="1360" t="s">
        <v>1227</v>
      </c>
    </row>
    <row r="5" spans="1:4" ht="56.25" customHeight="1">
      <c r="A5" s="1357" t="str">
        <f>项目基本情况!D3</f>
        <v>郑燚</v>
      </c>
      <c r="B5" s="1358">
        <f ca="1">项目基本情况!E3</f>
        <v>1120070131</v>
      </c>
      <c r="C5" s="1361"/>
      <c r="D5" s="1360" t="s">
        <v>1227</v>
      </c>
    </row>
    <row r="6" spans="1:4" ht="12" customHeight="1">
      <c r="A6" s="1357"/>
      <c r="B6" s="1358"/>
      <c r="C6" s="1362"/>
      <c r="D6" s="1360"/>
    </row>
    <row r="7" spans="1:4" ht="18">
      <c r="A7" s="3355" t="s">
        <v>1220</v>
      </c>
      <c r="B7" s="3355"/>
      <c r="C7" s="3355"/>
      <c r="D7" s="3355"/>
    </row>
    <row r="8" spans="1:4" ht="18.75">
      <c r="A8" s="1356" t="s">
        <v>1216</v>
      </c>
      <c r="B8" s="1358" t="s">
        <v>1221</v>
      </c>
      <c r="C8" s="1356" t="s">
        <v>1218</v>
      </c>
      <c r="D8" s="1356" t="s">
        <v>1219</v>
      </c>
    </row>
    <row r="9" spans="1:4" ht="56.25" customHeight="1">
      <c r="A9" s="1363" t="s">
        <v>777</v>
      </c>
      <c r="B9" s="1363" t="s">
        <v>778</v>
      </c>
      <c r="C9" s="1359"/>
      <c r="D9" s="1360" t="s">
        <v>1227</v>
      </c>
    </row>
    <row r="11" spans="1:4" ht="18.75">
      <c r="A11" s="1364" t="s">
        <v>1222</v>
      </c>
    </row>
    <row r="12" spans="1:4" ht="30" customHeight="1">
      <c r="A12" s="3357" t="s">
        <v>2676</v>
      </c>
      <c r="B12" s="3358"/>
      <c r="C12" s="3358"/>
      <c r="D12" s="3358"/>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7" t="str">
        <f>IF(项目基本情况!D4="抵押","4.本次评估估价师所知悉的法定优先受偿款情况说明如下：","——")</f>
        <v>4.本次评估估价师所知悉的法定优先受偿款情况说明如下：</v>
      </c>
      <c r="B15" s="3358"/>
      <c r="C15" s="3358"/>
      <c r="D15" s="3358"/>
    </row>
    <row r="16" spans="1:4" ht="75" customHeight="1">
      <c r="A16" s="335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9" t="s">
        <v>1228</v>
      </c>
      <c r="B17" s="3359"/>
      <c r="C17" s="3359"/>
      <c r="D17" s="3359"/>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2677</v>
      </c>
      <c r="B20" s="3359"/>
      <c r="C20" s="3359"/>
      <c r="D20" s="3359"/>
    </row>
    <row r="21" spans="1:4">
      <c r="A21" s="1365"/>
      <c r="B21" s="978"/>
      <c r="C21" s="978"/>
      <c r="D21" s="978"/>
    </row>
    <row r="22" spans="1:4">
      <c r="A22" s="1365"/>
      <c r="B22" s="978"/>
      <c r="C22" s="978"/>
      <c r="D22" s="978"/>
    </row>
    <row r="23" spans="1:4" ht="18.75">
      <c r="A23" s="1326" t="s">
        <v>1223</v>
      </c>
    </row>
    <row r="24" spans="1:4" ht="18">
      <c r="A24" s="1326"/>
    </row>
    <row r="25" spans="1:4" ht="18.75">
      <c r="A25" s="1326" t="s">
        <v>1224</v>
      </c>
    </row>
    <row r="28" spans="1:4" ht="21" customHeight="1">
      <c r="D28" s="1366" t="s">
        <v>1225</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5"/>
  </cols>
  <sheetData>
    <row r="1" spans="1:7" s="1355" customFormat="1" ht="18.75">
      <c r="A1" s="603" t="s">
        <v>1295</v>
      </c>
    </row>
    <row r="3" spans="1:7" ht="14.25">
      <c r="A3" s="1372" t="s">
        <v>1296</v>
      </c>
      <c r="B3" s="605" t="s">
        <v>1297</v>
      </c>
      <c r="G3" s="1373"/>
    </row>
    <row r="4" spans="1:7">
      <c r="G4" s="1373"/>
    </row>
    <row r="5" spans="1:7" ht="14.25">
      <c r="A5" s="1375" t="s">
        <v>1298</v>
      </c>
      <c r="B5" s="605" t="s">
        <v>1299</v>
      </c>
      <c r="G5" s="1373"/>
    </row>
    <row r="6" spans="1:7">
      <c r="G6" s="1373"/>
    </row>
    <row r="7" spans="1:7" ht="14.25">
      <c r="A7" s="1376" t="s">
        <v>1300</v>
      </c>
      <c r="B7" s="605" t="s">
        <v>1301</v>
      </c>
      <c r="G7" s="1373"/>
    </row>
    <row r="8" spans="1:7">
      <c r="G8" s="1373"/>
    </row>
    <row r="9" spans="1:7">
      <c r="A9" s="1377" t="s">
        <v>1302</v>
      </c>
      <c r="B9" s="605" t="s">
        <v>1303</v>
      </c>
    </row>
    <row r="11" spans="1:7">
      <c r="A11" s="1378" t="s">
        <v>1304</v>
      </c>
      <c r="B11" s="1379" t="s">
        <v>1305</v>
      </c>
    </row>
    <row r="13" spans="1:7">
      <c r="A13" s="1159" t="s">
        <v>1306</v>
      </c>
    </row>
    <row r="15" spans="1:7" ht="14.25">
      <c r="A15" s="3365" t="s">
        <v>1307</v>
      </c>
      <c r="B15" s="3360" t="s">
        <v>1308</v>
      </c>
      <c r="C15" s="3361"/>
    </row>
    <row r="16" spans="1:7" ht="14.25">
      <c r="A16" s="3366"/>
      <c r="B16" s="3360" t="s">
        <v>1309</v>
      </c>
      <c r="C16" s="3361"/>
    </row>
    <row r="17" spans="1:3" ht="14.25">
      <c r="A17" s="3366"/>
      <c r="B17" s="3360" t="s">
        <v>1310</v>
      </c>
      <c r="C17" s="3361"/>
    </row>
    <row r="18" spans="1:3" ht="14.25">
      <c r="A18" s="3367"/>
      <c r="B18" s="3362" t="s">
        <v>1311</v>
      </c>
      <c r="C18" s="3361"/>
    </row>
    <row r="19" spans="1:3" ht="14.25">
      <c r="A19" s="1380" t="s">
        <v>1312</v>
      </c>
      <c r="B19" s="1381"/>
      <c r="C19" s="1382"/>
    </row>
    <row r="20" spans="1:3" ht="14.25">
      <c r="A20" s="3363" t="s">
        <v>1313</v>
      </c>
      <c r="B20" s="3362" t="s">
        <v>1314</v>
      </c>
      <c r="C20" s="3361"/>
    </row>
    <row r="21" spans="1:3" ht="14.25">
      <c r="A21" s="3363"/>
      <c r="B21" s="3362" t="s">
        <v>1315</v>
      </c>
      <c r="C21" s="3361"/>
    </row>
    <row r="22" spans="1:3" ht="14.25">
      <c r="A22" s="3363"/>
      <c r="B22" s="3362" t="s">
        <v>1316</v>
      </c>
      <c r="C22" s="3361"/>
    </row>
    <row r="23" spans="1:3" ht="14.25">
      <c r="A23" s="3363"/>
      <c r="B23" s="3364" t="s">
        <v>1317</v>
      </c>
      <c r="C23" s="1383" t="s">
        <v>1318</v>
      </c>
    </row>
    <row r="24" spans="1:3" ht="14.25">
      <c r="A24" s="3363"/>
      <c r="B24" s="3364"/>
      <c r="C24" s="1383" t="s">
        <v>1319</v>
      </c>
    </row>
    <row r="25" spans="1:3" ht="14.25">
      <c r="A25" s="3363"/>
      <c r="B25" s="3364"/>
      <c r="C25" s="1383" t="s">
        <v>1320</v>
      </c>
    </row>
    <row r="26" spans="1:3" ht="14.25">
      <c r="A26" s="3363"/>
      <c r="B26" s="3364"/>
      <c r="C26" s="1383" t="s">
        <v>1321</v>
      </c>
    </row>
    <row r="27" spans="1:3" ht="14.25">
      <c r="A27" s="3363"/>
      <c r="B27" s="3364"/>
      <c r="C27" s="1383" t="s">
        <v>1322</v>
      </c>
    </row>
    <row r="28" spans="1:3" ht="14.25">
      <c r="A28" s="3363"/>
      <c r="B28" s="3364"/>
      <c r="C28" s="1383" t="s">
        <v>1323</v>
      </c>
    </row>
    <row r="29" spans="1:3" ht="14.25">
      <c r="A29" s="3363"/>
      <c r="B29" s="3364"/>
      <c r="C29" s="1383" t="s">
        <v>1324</v>
      </c>
    </row>
    <row r="30" spans="1:3" ht="14.25">
      <c r="A30" s="3363"/>
      <c r="B30" s="3364"/>
      <c r="C30" s="1383" t="s">
        <v>1325</v>
      </c>
    </row>
    <row r="31" spans="1:3" ht="14.25">
      <c r="A31" s="3363"/>
      <c r="B31" s="3364"/>
      <c r="C31" s="1383" t="s">
        <v>1326</v>
      </c>
    </row>
    <row r="32" spans="1:3">
      <c r="A32" s="1384"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44637</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2653</v>
      </c>
      <c r="B12" s="1270">
        <f ca="1">IF(C12&lt;B2,"已过期",1120040230)</f>
        <v>1120040230</v>
      </c>
      <c r="C12" s="3040">
        <v>44864</v>
      </c>
      <c r="D12" s="3048" t="str">
        <f t="shared" ca="1" si="0"/>
        <v>苏海（注册号：1120040230）</v>
      </c>
      <c r="E12" s="3050" t="s">
        <v>2653</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2669</v>
      </c>
      <c r="B14" s="1270">
        <f ca="1">IF(C14&lt;B2,"已过期",1119980106)</f>
        <v>1119980106</v>
      </c>
      <c r="C14" s="3040">
        <v>44969</v>
      </c>
      <c r="D14" s="3048" t="str">
        <f t="shared" ca="1" si="0"/>
        <v>刘俊财（注册号：1119980106）</v>
      </c>
      <c r="E14" s="3050" t="s">
        <v>2769</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2773</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6"/>
      <c r="E18" s="3370" t="s">
        <v>764</v>
      </c>
      <c r="F18" s="3369"/>
      <c r="G18" s="3369"/>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2770</v>
      </c>
      <c r="B20" s="3043" t="s">
        <v>2771</v>
      </c>
      <c r="C20" s="3038">
        <v>44820</v>
      </c>
      <c r="D20" s="3051"/>
      <c r="E20" s="3053" t="s">
        <v>768</v>
      </c>
      <c r="F20" s="3043" t="s">
        <v>769</v>
      </c>
      <c r="G20" s="3044">
        <v>44377</v>
      </c>
    </row>
    <row r="21" spans="1:8" s="3026" customFormat="1" ht="24" customHeight="1">
      <c r="A21" s="3043"/>
      <c r="B21" s="3043"/>
      <c r="C21" s="3045"/>
      <c r="D21" s="3052"/>
      <c r="E21" s="3053" t="s">
        <v>770</v>
      </c>
      <c r="F21" s="3046" t="s">
        <v>2668</v>
      </c>
      <c r="G21" s="3047">
        <v>44012</v>
      </c>
    </row>
    <row r="22" spans="1:8" ht="24" customHeight="1">
      <c r="C22" s="3029"/>
      <c r="D22" s="3029"/>
      <c r="E22" s="3054"/>
      <c r="F22" s="3055"/>
      <c r="G22" s="3056"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5" t="s">
        <v>1328</v>
      </c>
      <c r="B1" s="4" t="s">
        <v>1329</v>
      </c>
      <c r="C1" s="1386" t="s">
        <v>1330</v>
      </c>
      <c r="D1" s="5" t="s">
        <v>1331</v>
      </c>
      <c r="E1" s="5" t="s">
        <v>1332</v>
      </c>
      <c r="F1" s="5" t="s">
        <v>1333</v>
      </c>
      <c r="G1" s="5" t="s">
        <v>1334</v>
      </c>
      <c r="H1" s="5" t="s">
        <v>1335</v>
      </c>
      <c r="I1" s="5" t="s">
        <v>1336</v>
      </c>
      <c r="J1" s="5" t="s">
        <v>1337</v>
      </c>
      <c r="K1" s="5" t="s">
        <v>1338</v>
      </c>
      <c r="L1" s="5" t="s">
        <v>1339</v>
      </c>
      <c r="M1" s="5" t="s">
        <v>1340</v>
      </c>
      <c r="N1" s="5" t="s">
        <v>1341</v>
      </c>
      <c r="O1" s="5" t="s">
        <v>1342</v>
      </c>
      <c r="P1" s="1387" t="s">
        <v>1343</v>
      </c>
      <c r="Q1" s="1387" t="s">
        <v>1344</v>
      </c>
      <c r="R1" s="1387" t="s">
        <v>1345</v>
      </c>
      <c r="S1" s="5" t="s">
        <v>1346</v>
      </c>
      <c r="T1" s="6" t="s">
        <v>1347</v>
      </c>
      <c r="U1" s="5" t="s">
        <v>1348</v>
      </c>
      <c r="V1" s="5" t="s">
        <v>1349</v>
      </c>
      <c r="W1" s="5" t="s">
        <v>1350</v>
      </c>
      <c r="X1" s="5" t="s">
        <v>1351</v>
      </c>
      <c r="Y1" s="5" t="s">
        <v>1352</v>
      </c>
    </row>
    <row r="2" spans="1:25">
      <c r="A2" s="1388" t="s">
        <v>33</v>
      </c>
      <c r="B2" s="1388" t="s">
        <v>1353</v>
      </c>
      <c r="C2" s="1389"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8" t="s">
        <v>1366</v>
      </c>
      <c r="B3" s="1390" t="s">
        <v>1367</v>
      </c>
      <c r="C3" s="965"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8" t="s">
        <v>1379</v>
      </c>
      <c r="B4" s="1390" t="s">
        <v>1380</v>
      </c>
      <c r="C4" s="1389"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8" t="s">
        <v>1390</v>
      </c>
      <c r="B5" s="1388" t="s">
        <v>1391</v>
      </c>
      <c r="C5" s="1389"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1"/>
    </row>
    <row r="6" spans="1:25">
      <c r="A6" s="1388" t="s">
        <v>1399</v>
      </c>
      <c r="B6" s="1388" t="s">
        <v>1400</v>
      </c>
      <c r="C6" s="952"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1"/>
    </row>
    <row r="7" spans="1:25">
      <c r="A7" s="1388" t="s">
        <v>1407</v>
      </c>
      <c r="B7" s="1390" t="s">
        <v>1408</v>
      </c>
      <c r="C7" s="1389" t="s">
        <v>1409</v>
      </c>
      <c r="F7" s="7" t="s">
        <v>1410</v>
      </c>
      <c r="H7" s="7" t="s">
        <v>1411</v>
      </c>
      <c r="I7" s="7" t="s">
        <v>1412</v>
      </c>
      <c r="X7" s="1391"/>
    </row>
    <row r="8" spans="1:25">
      <c r="A8" s="1388" t="s">
        <v>1413</v>
      </c>
      <c r="B8" s="1390" t="s">
        <v>1414</v>
      </c>
      <c r="C8" s="1389" t="s">
        <v>1415</v>
      </c>
      <c r="F8" s="7" t="s">
        <v>1416</v>
      </c>
      <c r="H8" s="7" t="s">
        <v>1417</v>
      </c>
      <c r="I8" s="7" t="s">
        <v>1418</v>
      </c>
      <c r="X8" s="1391"/>
    </row>
    <row r="9" spans="1:25">
      <c r="A9" s="1388" t="s">
        <v>1419</v>
      </c>
      <c r="B9" s="1388" t="s">
        <v>1420</v>
      </c>
      <c r="C9" s="1389" t="s">
        <v>1421</v>
      </c>
      <c r="F9" s="7" t="s">
        <v>1422</v>
      </c>
      <c r="H9" s="7" t="s">
        <v>1423</v>
      </c>
    </row>
    <row r="10" spans="1:25">
      <c r="A10" s="1388" t="s">
        <v>1424</v>
      </c>
      <c r="B10" s="1388" t="s">
        <v>1425</v>
      </c>
      <c r="C10" s="1389" t="s">
        <v>1426</v>
      </c>
      <c r="F10" s="7" t="s">
        <v>13</v>
      </c>
    </row>
    <row r="11" spans="1:25">
      <c r="A11" s="1388" t="s">
        <v>1427</v>
      </c>
      <c r="B11" s="1388" t="s">
        <v>1428</v>
      </c>
      <c r="C11" s="1389" t="s">
        <v>1429</v>
      </c>
    </row>
    <row r="12" spans="1:25">
      <c r="A12" s="1388" t="s">
        <v>1430</v>
      </c>
      <c r="B12" s="1388" t="s">
        <v>1431</v>
      </c>
      <c r="C12" s="1389" t="s">
        <v>1432</v>
      </c>
    </row>
    <row r="13" spans="1:25">
      <c r="A13" s="1388" t="s">
        <v>1433</v>
      </c>
      <c r="B13" s="1388" t="s">
        <v>1434</v>
      </c>
      <c r="C13" s="1389" t="s">
        <v>1435</v>
      </c>
    </row>
    <row r="14" spans="1:25">
      <c r="A14" s="1388" t="s">
        <v>1436</v>
      </c>
      <c r="B14" s="1388" t="s">
        <v>1437</v>
      </c>
      <c r="C14" s="1389"/>
    </row>
    <row r="15" spans="1:25">
      <c r="A15" s="1388" t="s">
        <v>1438</v>
      </c>
      <c r="B15" s="1388" t="s">
        <v>1439</v>
      </c>
      <c r="C15" s="1389"/>
    </row>
    <row r="16" spans="1:25">
      <c r="A16" s="1388" t="s">
        <v>1440</v>
      </c>
      <c r="B16" s="1388" t="s">
        <v>1441</v>
      </c>
      <c r="C16" s="1389"/>
    </row>
    <row r="17" spans="1:3">
      <c r="A17" s="1388" t="s">
        <v>1442</v>
      </c>
      <c r="B17" s="1388" t="s">
        <v>1443</v>
      </c>
      <c r="C17" s="1389"/>
    </row>
    <row r="18" spans="1:3">
      <c r="A18" s="1388" t="s">
        <v>1444</v>
      </c>
      <c r="B18" s="1388" t="s">
        <v>1445</v>
      </c>
      <c r="C18" s="1389"/>
    </row>
    <row r="19" spans="1:3">
      <c r="A19" s="1388" t="s">
        <v>1446</v>
      </c>
      <c r="B19" s="1388" t="s">
        <v>1447</v>
      </c>
      <c r="C19" s="1389"/>
    </row>
    <row r="20" spans="1:3">
      <c r="A20" s="1388" t="s">
        <v>1448</v>
      </c>
      <c r="B20" s="1388" t="s">
        <v>2970</v>
      </c>
      <c r="C20" s="1389"/>
    </row>
    <row r="21" spans="1:3">
      <c r="A21" s="1388" t="s">
        <v>1449</v>
      </c>
      <c r="B21" s="1388" t="s">
        <v>740</v>
      </c>
      <c r="C21" s="1389"/>
    </row>
    <row r="22" spans="1:3">
      <c r="A22" s="1388" t="s">
        <v>1450</v>
      </c>
      <c r="B22" s="1388" t="s">
        <v>740</v>
      </c>
      <c r="C22" s="1389"/>
    </row>
    <row r="23" spans="1:3">
      <c r="A23" s="1388" t="s">
        <v>1451</v>
      </c>
      <c r="B23" s="1388" t="s">
        <v>740</v>
      </c>
      <c r="C23" s="1389"/>
    </row>
    <row r="24" spans="1:3">
      <c r="A24" s="1388" t="s">
        <v>1452</v>
      </c>
      <c r="B24" s="1388" t="s">
        <v>740</v>
      </c>
      <c r="C24" s="1389"/>
    </row>
    <row r="25" spans="1:3">
      <c r="A25" s="1388" t="s">
        <v>1453</v>
      </c>
      <c r="B25" s="1388" t="s">
        <v>740</v>
      </c>
      <c r="C25" s="1389"/>
    </row>
    <row r="26" spans="1:3">
      <c r="A26" s="1388" t="s">
        <v>1454</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2" t="s">
        <v>1457</v>
      </c>
      <c r="B52" s="1392" t="s">
        <v>1458</v>
      </c>
      <c r="C52" s="9" t="s">
        <v>1459</v>
      </c>
      <c r="D52" s="9" t="s">
        <v>1460</v>
      </c>
    </row>
    <row r="53" spans="1:4" ht="14.25" customHeight="1">
      <c r="A53" s="3371"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本次估价的“房地产价值”是指在正常市场情况下，在价值时点2022年3月16日，估价对象规划用途为，假定未设立法定优先受偿款下的房地产市场价值。</v>
      </c>
    </row>
    <row r="54" spans="1:4">
      <c r="A54" s="3371"/>
      <c r="B54" s="9" t="s">
        <v>1463</v>
      </c>
      <c r="C54" s="9" t="s">
        <v>1464</v>
      </c>
    </row>
    <row r="55" spans="1:4">
      <c r="A55" s="3371"/>
      <c r="B55" s="9" t="s">
        <v>1465</v>
      </c>
      <c r="C55" s="9" t="s">
        <v>1466</v>
      </c>
    </row>
    <row r="56" spans="1:4">
      <c r="A56" s="3371"/>
      <c r="B56" s="9" t="s">
        <v>1467</v>
      </c>
      <c r="C56" s="9" t="s">
        <v>1468</v>
      </c>
    </row>
    <row r="57" spans="1:4">
      <c r="A57" s="3371"/>
      <c r="B57" s="9" t="s">
        <v>1469</v>
      </c>
      <c r="C57" s="9" t="s">
        <v>1470</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2022-03-17T06:10:25Z</dcterms:modified>
</cp:coreProperties>
</file>